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aibagarova\Desktop\сайт\"/>
    </mc:Choice>
  </mc:AlternateContent>
  <bookViews>
    <workbookView xWindow="-120" yWindow="-120" windowWidth="20730" windowHeight="11160" activeTab="1"/>
  </bookViews>
  <sheets>
    <sheet name="МОБ" sheetId="10" r:id="rId1"/>
    <sheet name="ЕЕ" sheetId="1" r:id="rId2"/>
    <sheet name="повыш. квал" sheetId="9" r:id="rId3"/>
    <sheet name="7100" sheetId="7" r:id="rId4"/>
    <sheet name="1720" sheetId="8" r:id="rId5"/>
    <sheet name="7200" sheetId="6" r:id="rId6"/>
    <sheet name="ОС и НМА" sheetId="5" r:id="rId7"/>
    <sheet name="ТМЗ и услуги" sheetId="4" r:id="rId8"/>
    <sheet name="регионы" sheetId="3" r:id="rId9"/>
    <sheet name="УЛИСИ" sheetId="2" r:id="rId10"/>
  </sheets>
  <externalReferences>
    <externalReference r:id="rId11"/>
    <externalReference r:id="rId12"/>
    <externalReference r:id="rId13"/>
  </externalReferences>
  <definedNames>
    <definedName name="_xlnm._FilterDatabase" localSheetId="4" hidden="1">'1720'!$A$1:$P$31</definedName>
    <definedName name="_xlnm._FilterDatabase" localSheetId="1" hidden="1">ЕЕ!$A$13:$CR$212</definedName>
    <definedName name="_xlnm._FilterDatabase" localSheetId="7" hidden="1">'ТМЗ и услуги'!$A$3:$T$3</definedName>
    <definedName name="_xlnm.Print_Titles" localSheetId="1">ЕЕ!$4:$13</definedName>
    <definedName name="_xlnm.Print_Area" localSheetId="1">ЕЕ!$A$1:$X$236</definedName>
    <definedName name="_xlnm.Print_Area" localSheetId="6">'ОС и НМА'!$A$1:$M$42</definedName>
    <definedName name="_xlnm.Print_Area" localSheetId="7">'ТМЗ и услуги'!$A$1:$T$60</definedName>
    <definedName name="Обоснование">[1]ОПГЗ!$B$2:$B$55</definedName>
    <definedName name="Признак">'[1]Категория поставщика'!$A$1:$A$2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1" i="1" l="1"/>
  <c r="B7" i="10" l="1"/>
  <c r="C7" i="10" s="1"/>
  <c r="B6" i="10"/>
  <c r="C6" i="10" s="1"/>
  <c r="C5" i="10"/>
  <c r="C4" i="10"/>
  <c r="C3" i="10"/>
  <c r="C8" i="10" l="1"/>
  <c r="B8" i="10"/>
  <c r="T50" i="9" l="1"/>
  <c r="M48" i="9" l="1"/>
  <c r="H48" i="9"/>
  <c r="C48" i="9"/>
  <c r="O47" i="9"/>
  <c r="T47" i="9" s="1"/>
  <c r="L47" i="9"/>
  <c r="J47" i="9"/>
  <c r="T46" i="9"/>
  <c r="Q46" i="9"/>
  <c r="V46" i="9" s="1"/>
  <c r="O46" i="9"/>
  <c r="J46" i="9"/>
  <c r="L46" i="9" s="1"/>
  <c r="O45" i="9"/>
  <c r="T45" i="9" s="1"/>
  <c r="L45" i="9"/>
  <c r="J45" i="9"/>
  <c r="V44" i="9"/>
  <c r="O44" i="9"/>
  <c r="Q44" i="9" s="1"/>
  <c r="N44" i="9"/>
  <c r="I44" i="9"/>
  <c r="J44" i="9" s="1"/>
  <c r="L44" i="9" s="1"/>
  <c r="D44" i="9"/>
  <c r="E44" i="9" s="1"/>
  <c r="G44" i="9" s="1"/>
  <c r="V43" i="9"/>
  <c r="N43" i="9"/>
  <c r="O43" i="9" s="1"/>
  <c r="Q43" i="9" s="1"/>
  <c r="L43" i="9"/>
  <c r="J43" i="9"/>
  <c r="I43" i="9"/>
  <c r="E43" i="9"/>
  <c r="G43" i="9" s="1"/>
  <c r="D43" i="9"/>
  <c r="V42" i="9"/>
  <c r="O42" i="9"/>
  <c r="Q42" i="9" s="1"/>
  <c r="N42" i="9"/>
  <c r="I42" i="9"/>
  <c r="J42" i="9" s="1"/>
  <c r="L42" i="9" s="1"/>
  <c r="D42" i="9"/>
  <c r="E42" i="9" s="1"/>
  <c r="G42" i="9" s="1"/>
  <c r="V41" i="9"/>
  <c r="N41" i="9"/>
  <c r="O41" i="9" s="1"/>
  <c r="Q41" i="9" s="1"/>
  <c r="L41" i="9"/>
  <c r="J41" i="9"/>
  <c r="I41" i="9"/>
  <c r="E41" i="9"/>
  <c r="G41" i="9" s="1"/>
  <c r="D41" i="9"/>
  <c r="V40" i="9"/>
  <c r="O40" i="9"/>
  <c r="Q40" i="9" s="1"/>
  <c r="N40" i="9"/>
  <c r="I40" i="9"/>
  <c r="J40" i="9" s="1"/>
  <c r="L40" i="9" s="1"/>
  <c r="D40" i="9"/>
  <c r="E40" i="9" s="1"/>
  <c r="G40" i="9" s="1"/>
  <c r="N39" i="9"/>
  <c r="O39" i="9" s="1"/>
  <c r="I39" i="9"/>
  <c r="J39" i="9" s="1"/>
  <c r="L39" i="9" s="1"/>
  <c r="G39" i="9"/>
  <c r="E39" i="9"/>
  <c r="D39" i="9"/>
  <c r="J38" i="9"/>
  <c r="K38" i="9" s="1"/>
  <c r="G38" i="9"/>
  <c r="E38" i="9"/>
  <c r="J37" i="9"/>
  <c r="K37" i="9" s="1"/>
  <c r="G37" i="9"/>
  <c r="E37" i="9"/>
  <c r="T36" i="9"/>
  <c r="Q36" i="9"/>
  <c r="V36" i="9" s="1"/>
  <c r="O36" i="9"/>
  <c r="J36" i="9"/>
  <c r="L36" i="9" s="1"/>
  <c r="G36" i="9"/>
  <c r="E36" i="9"/>
  <c r="V35" i="9"/>
  <c r="Q35" i="9"/>
  <c r="O35" i="9"/>
  <c r="J35" i="9"/>
  <c r="L35" i="9" s="1"/>
  <c r="G35" i="9"/>
  <c r="E35" i="9"/>
  <c r="V34" i="9"/>
  <c r="O34" i="9"/>
  <c r="Q34" i="9" s="1"/>
  <c r="N34" i="9"/>
  <c r="I34" i="9"/>
  <c r="J34" i="9" s="1"/>
  <c r="L34" i="9" s="1"/>
  <c r="D34" i="9"/>
  <c r="E34" i="9" s="1"/>
  <c r="G34" i="9" s="1"/>
  <c r="V33" i="9"/>
  <c r="N33" i="9"/>
  <c r="O33" i="9" s="1"/>
  <c r="Q33" i="9" s="1"/>
  <c r="L33" i="9"/>
  <c r="J33" i="9"/>
  <c r="I33" i="9"/>
  <c r="E33" i="9"/>
  <c r="G33" i="9" s="1"/>
  <c r="D33" i="9"/>
  <c r="V32" i="9"/>
  <c r="O32" i="9"/>
  <c r="Q32" i="9" s="1"/>
  <c r="I32" i="9"/>
  <c r="J32" i="9" s="1"/>
  <c r="L32" i="9" s="1"/>
  <c r="V31" i="9"/>
  <c r="N31" i="9"/>
  <c r="O31" i="9" s="1"/>
  <c r="Q31" i="9" s="1"/>
  <c r="L31" i="9"/>
  <c r="J31" i="9"/>
  <c r="I31" i="9"/>
  <c r="E31" i="9"/>
  <c r="G31" i="9" s="1"/>
  <c r="D31" i="9"/>
  <c r="V30" i="9"/>
  <c r="O30" i="9"/>
  <c r="Q30" i="9" s="1"/>
  <c r="N30" i="9"/>
  <c r="I30" i="9"/>
  <c r="J30" i="9" s="1"/>
  <c r="L30" i="9" s="1"/>
  <c r="D30" i="9"/>
  <c r="E30" i="9" s="1"/>
  <c r="G30" i="9" s="1"/>
  <c r="V29" i="9"/>
  <c r="N29" i="9"/>
  <c r="O29" i="9" s="1"/>
  <c r="Q29" i="9" s="1"/>
  <c r="I29" i="9"/>
  <c r="J29" i="9" s="1"/>
  <c r="L29" i="9" s="1"/>
  <c r="E29" i="9"/>
  <c r="G29" i="9" s="1"/>
  <c r="D29" i="9"/>
  <c r="V28" i="9"/>
  <c r="O28" i="9"/>
  <c r="Q28" i="9" s="1"/>
  <c r="N28" i="9"/>
  <c r="I28" i="9"/>
  <c r="J28" i="9" s="1"/>
  <c r="L28" i="9" s="1"/>
  <c r="E28" i="9"/>
  <c r="G28" i="9" s="1"/>
  <c r="D28" i="9"/>
  <c r="V27" i="9"/>
  <c r="O27" i="9"/>
  <c r="Q27" i="9" s="1"/>
  <c r="N27" i="9"/>
  <c r="I27" i="9"/>
  <c r="J27" i="9" s="1"/>
  <c r="L27" i="9" s="1"/>
  <c r="E27" i="9"/>
  <c r="G27" i="9" s="1"/>
  <c r="D27" i="9"/>
  <c r="Q26" i="9"/>
  <c r="V26" i="9" s="1"/>
  <c r="O26" i="9"/>
  <c r="T26" i="9" s="1"/>
  <c r="Q25" i="9"/>
  <c r="V25" i="9" s="1"/>
  <c r="O25" i="9"/>
  <c r="T25" i="9" s="1"/>
  <c r="Q24" i="9"/>
  <c r="V24" i="9" s="1"/>
  <c r="O24" i="9"/>
  <c r="T24" i="9" s="1"/>
  <c r="I23" i="9"/>
  <c r="J23" i="9" s="1"/>
  <c r="L23" i="9" s="1"/>
  <c r="E23" i="9"/>
  <c r="G23" i="9" s="1"/>
  <c r="D23" i="9"/>
  <c r="I22" i="9"/>
  <c r="J22" i="9" s="1"/>
  <c r="L22" i="9" s="1"/>
  <c r="E22" i="9"/>
  <c r="G22" i="9" s="1"/>
  <c r="D22" i="9"/>
  <c r="I21" i="9"/>
  <c r="J21" i="9" s="1"/>
  <c r="L21" i="9" s="1"/>
  <c r="E21" i="9"/>
  <c r="G21" i="9" s="1"/>
  <c r="D21" i="9"/>
  <c r="I20" i="9"/>
  <c r="J20" i="9" s="1"/>
  <c r="L20" i="9" s="1"/>
  <c r="E20" i="9"/>
  <c r="G20" i="9" s="1"/>
  <c r="D20" i="9"/>
  <c r="V19" i="9"/>
  <c r="O19" i="9"/>
  <c r="Q19" i="9" s="1"/>
  <c r="J19" i="9"/>
  <c r="L19" i="9" s="1"/>
  <c r="J18" i="9"/>
  <c r="L18" i="9" s="1"/>
  <c r="I18" i="9"/>
  <c r="D18" i="9"/>
  <c r="E18" i="9" s="1"/>
  <c r="G18" i="9" s="1"/>
  <c r="U17" i="9"/>
  <c r="P17" i="9"/>
  <c r="O17" i="9"/>
  <c r="U16" i="9"/>
  <c r="O16" i="9"/>
  <c r="P16" i="9" s="1"/>
  <c r="J16" i="9"/>
  <c r="K16" i="9" s="1"/>
  <c r="U15" i="9"/>
  <c r="P15" i="9"/>
  <c r="O15" i="9"/>
  <c r="K15" i="9"/>
  <c r="J15" i="9"/>
  <c r="P14" i="9"/>
  <c r="U14" i="9" s="1"/>
  <c r="O14" i="9"/>
  <c r="T14" i="9" s="1"/>
  <c r="K14" i="9"/>
  <c r="J14" i="9"/>
  <c r="K13" i="9"/>
  <c r="J13" i="9"/>
  <c r="U12" i="9"/>
  <c r="T12" i="9"/>
  <c r="N12" i="9"/>
  <c r="O12" i="9" s="1"/>
  <c r="P12" i="9" s="1"/>
  <c r="J12" i="9"/>
  <c r="K12" i="9" s="1"/>
  <c r="I12" i="9"/>
  <c r="D12" i="9"/>
  <c r="E12" i="9" s="1"/>
  <c r="F12" i="9" s="1"/>
  <c r="T11" i="9"/>
  <c r="U11" i="9" s="1"/>
  <c r="U48" i="9" s="1"/>
  <c r="O11" i="9"/>
  <c r="P11" i="9" s="1"/>
  <c r="P48" i="9" s="1"/>
  <c r="N11" i="9"/>
  <c r="I11" i="9"/>
  <c r="J11" i="9" s="1"/>
  <c r="K11" i="9" s="1"/>
  <c r="K48" i="9" s="1"/>
  <c r="E11" i="9"/>
  <c r="F11" i="9" s="1"/>
  <c r="D11" i="9"/>
  <c r="V10" i="9"/>
  <c r="T10" i="9"/>
  <c r="Q10" i="9"/>
  <c r="O10" i="9"/>
  <c r="V9" i="9"/>
  <c r="T9" i="9"/>
  <c r="Q9" i="9"/>
  <c r="O9" i="9"/>
  <c r="L9" i="9"/>
  <c r="J9" i="9"/>
  <c r="L8" i="9"/>
  <c r="J8" i="9"/>
  <c r="V7" i="9"/>
  <c r="T7" i="9"/>
  <c r="N7" i="9"/>
  <c r="O7" i="9" s="1"/>
  <c r="Q7" i="9" s="1"/>
  <c r="J7" i="9"/>
  <c r="L7" i="9" s="1"/>
  <c r="I7" i="9"/>
  <c r="D7" i="9"/>
  <c r="E7" i="9" s="1"/>
  <c r="G7" i="9" s="1"/>
  <c r="T6" i="9"/>
  <c r="O6" i="9"/>
  <c r="Q6" i="9" s="1"/>
  <c r="N6" i="9"/>
  <c r="I6" i="9"/>
  <c r="J6" i="9" s="1"/>
  <c r="E6" i="9"/>
  <c r="D6" i="9"/>
  <c r="I30" i="8"/>
  <c r="H30" i="8"/>
  <c r="E30" i="8"/>
  <c r="D30" i="8"/>
  <c r="C30" i="8"/>
  <c r="C33" i="8" s="1"/>
  <c r="B30" i="8"/>
  <c r="L29" i="8"/>
  <c r="M29" i="8" s="1"/>
  <c r="J29" i="8"/>
  <c r="J28" i="8"/>
  <c r="L28" i="8" s="1"/>
  <c r="M28" i="8" s="1"/>
  <c r="L26" i="8"/>
  <c r="M26" i="8" s="1"/>
  <c r="J26" i="8"/>
  <c r="J24" i="8"/>
  <c r="L24" i="8" s="1"/>
  <c r="M24" i="8" s="1"/>
  <c r="L22" i="8"/>
  <c r="M22" i="8" s="1"/>
  <c r="J22" i="8"/>
  <c r="K20" i="8"/>
  <c r="J20" i="8" s="1"/>
  <c r="L20" i="8" s="1"/>
  <c r="M20" i="8" s="1"/>
  <c r="K18" i="8"/>
  <c r="J18" i="8" s="1"/>
  <c r="L18" i="8" s="1"/>
  <c r="M18" i="8" s="1"/>
  <c r="K16" i="8"/>
  <c r="K30" i="8" s="1"/>
  <c r="J14" i="8"/>
  <c r="L14" i="8" s="1"/>
  <c r="M14" i="8" s="1"/>
  <c r="L12" i="8"/>
  <c r="M12" i="8" s="1"/>
  <c r="J12" i="8"/>
  <c r="J10" i="8"/>
  <c r="L10" i="8" s="1"/>
  <c r="M10" i="8" s="1"/>
  <c r="L9" i="8"/>
  <c r="M9" i="8" s="1"/>
  <c r="J9" i="8"/>
  <c r="N7" i="8"/>
  <c r="L7" i="8"/>
  <c r="M7" i="8" s="1"/>
  <c r="J7" i="8"/>
  <c r="M5" i="8"/>
  <c r="L4" i="8"/>
  <c r="M4" i="8" s="1"/>
  <c r="J4" i="8"/>
  <c r="Q50" i="6"/>
  <c r="J48" i="9" l="1"/>
  <c r="L6" i="9"/>
  <c r="L48" i="9" s="1"/>
  <c r="T39" i="9"/>
  <c r="Q39" i="9"/>
  <c r="V39" i="9" s="1"/>
  <c r="E48" i="9"/>
  <c r="T48" i="9"/>
  <c r="F48" i="9"/>
  <c r="G6" i="9"/>
  <c r="G48" i="9" s="1"/>
  <c r="V6" i="9"/>
  <c r="Q45" i="9"/>
  <c r="V45" i="9" s="1"/>
  <c r="Q47" i="9"/>
  <c r="V47" i="9" s="1"/>
  <c r="O48" i="9"/>
  <c r="J30" i="8"/>
  <c r="J16" i="8"/>
  <c r="L16" i="8" s="1"/>
  <c r="M16" i="8" s="1"/>
  <c r="M30" i="8" s="1"/>
  <c r="V48" i="9" l="1"/>
  <c r="Q48" i="9"/>
  <c r="L30" i="8"/>
  <c r="M31" i="8" s="1"/>
  <c r="K31" i="7" l="1"/>
  <c r="Q31" i="7" s="1"/>
  <c r="Q30" i="7" s="1"/>
  <c r="P30" i="7"/>
  <c r="O30" i="7"/>
  <c r="N30" i="7"/>
  <c r="M30" i="7"/>
  <c r="J30" i="7"/>
  <c r="I30" i="7"/>
  <c r="H30" i="7"/>
  <c r="G30" i="7"/>
  <c r="F30" i="7"/>
  <c r="E30" i="7"/>
  <c r="D30" i="7"/>
  <c r="C30" i="7"/>
  <c r="H27" i="7"/>
  <c r="C27" i="7"/>
  <c r="B27" i="7"/>
  <c r="N27" i="7" s="1"/>
  <c r="M26" i="7"/>
  <c r="E26" i="7"/>
  <c r="D26" i="7"/>
  <c r="B26" i="7"/>
  <c r="N26" i="7" s="1"/>
  <c r="N25" i="7" s="1"/>
  <c r="K24" i="7"/>
  <c r="L24" i="7" s="1"/>
  <c r="B24" i="7"/>
  <c r="K23" i="7"/>
  <c r="L23" i="7" s="1"/>
  <c r="B23" i="7"/>
  <c r="P22" i="7"/>
  <c r="O22" i="7"/>
  <c r="N22" i="7"/>
  <c r="M22" i="7"/>
  <c r="J22" i="7"/>
  <c r="I22" i="7"/>
  <c r="H22" i="7"/>
  <c r="G22" i="7"/>
  <c r="F22" i="7"/>
  <c r="E22" i="7"/>
  <c r="D22" i="7"/>
  <c r="C22" i="7"/>
  <c r="G26" i="7" l="1"/>
  <c r="O26" i="7"/>
  <c r="D27" i="7"/>
  <c r="D25" i="7" s="1"/>
  <c r="I27" i="7"/>
  <c r="L31" i="7"/>
  <c r="C26" i="7"/>
  <c r="H26" i="7"/>
  <c r="P26" i="7"/>
  <c r="E27" i="7"/>
  <c r="E25" i="7" s="1"/>
  <c r="M27" i="7"/>
  <c r="I26" i="7"/>
  <c r="G27" i="7"/>
  <c r="O27" i="7"/>
  <c r="M25" i="7"/>
  <c r="H25" i="7"/>
  <c r="L22" i="7"/>
  <c r="Q24" i="7"/>
  <c r="L30" i="7"/>
  <c r="I25" i="7"/>
  <c r="Q23" i="7"/>
  <c r="C25" i="7"/>
  <c r="P27" i="7"/>
  <c r="P25" i="7" s="1"/>
  <c r="F26" i="7"/>
  <c r="J26" i="7"/>
  <c r="F27" i="7"/>
  <c r="J27" i="7"/>
  <c r="J25" i="7" l="1"/>
  <c r="O25" i="7"/>
  <c r="G25" i="7"/>
  <c r="Q22" i="7"/>
  <c r="K27" i="7"/>
  <c r="L27" i="7" s="1"/>
  <c r="Q27" i="7"/>
  <c r="K26" i="7"/>
  <c r="F25" i="7"/>
  <c r="L25" i="7" s="1"/>
  <c r="Q26" i="7" l="1"/>
  <c r="L26" i="7"/>
  <c r="Q25" i="7" l="1"/>
  <c r="R73" i="6"/>
  <c r="R68" i="6"/>
  <c r="R75" i="6"/>
  <c r="R175" i="6" l="1"/>
  <c r="K174" i="6"/>
  <c r="R173" i="6"/>
  <c r="O173" i="6"/>
  <c r="N173" i="6"/>
  <c r="M173" i="6"/>
  <c r="J173" i="6"/>
  <c r="I173" i="6"/>
  <c r="H173" i="6"/>
  <c r="G173" i="6"/>
  <c r="F173" i="6"/>
  <c r="E173" i="6"/>
  <c r="D173" i="6"/>
  <c r="C173" i="6"/>
  <c r="R172" i="6"/>
  <c r="L171" i="6"/>
  <c r="K171" i="6"/>
  <c r="R170" i="6"/>
  <c r="O170" i="6"/>
  <c r="N170" i="6"/>
  <c r="M170" i="6"/>
  <c r="J170" i="6"/>
  <c r="I170" i="6"/>
  <c r="H170" i="6"/>
  <c r="G170" i="6"/>
  <c r="F170" i="6"/>
  <c r="E170" i="6"/>
  <c r="D170" i="6"/>
  <c r="C170" i="6"/>
  <c r="R169" i="6"/>
  <c r="R168" i="6"/>
  <c r="R167" i="6"/>
  <c r="R166" i="6"/>
  <c r="R165" i="6"/>
  <c r="R164" i="6"/>
  <c r="R163" i="6"/>
  <c r="R162" i="6"/>
  <c r="D161" i="6"/>
  <c r="C161" i="6"/>
  <c r="R160" i="6"/>
  <c r="P160" i="6"/>
  <c r="O160" i="6"/>
  <c r="N160" i="6"/>
  <c r="M160" i="6"/>
  <c r="J160" i="6"/>
  <c r="I160" i="6"/>
  <c r="H160" i="6"/>
  <c r="G160" i="6"/>
  <c r="F160" i="6"/>
  <c r="E160" i="6"/>
  <c r="C160" i="6"/>
  <c r="R159" i="6"/>
  <c r="R158" i="6"/>
  <c r="K157" i="6"/>
  <c r="Q157" i="6" s="1"/>
  <c r="Q156" i="6" s="1"/>
  <c r="R156" i="6"/>
  <c r="P156" i="6"/>
  <c r="O156" i="6"/>
  <c r="N156" i="6"/>
  <c r="M156" i="6"/>
  <c r="J156" i="6"/>
  <c r="I156" i="6"/>
  <c r="H156" i="6"/>
  <c r="G156" i="6"/>
  <c r="F156" i="6"/>
  <c r="E156" i="6"/>
  <c r="D156" i="6"/>
  <c r="C156" i="6"/>
  <c r="R155" i="6"/>
  <c r="R154" i="6"/>
  <c r="R153" i="6"/>
  <c r="R152" i="6"/>
  <c r="O151" i="6"/>
  <c r="N151" i="6"/>
  <c r="N149" i="6" s="1"/>
  <c r="K151" i="6"/>
  <c r="L150" i="6"/>
  <c r="K150" i="6"/>
  <c r="Q150" i="6" s="1"/>
  <c r="R149" i="6"/>
  <c r="M149" i="6"/>
  <c r="J149" i="6"/>
  <c r="I149" i="6"/>
  <c r="H149" i="6"/>
  <c r="G149" i="6"/>
  <c r="F149" i="6"/>
  <c r="E149" i="6"/>
  <c r="D149" i="6"/>
  <c r="C149" i="6"/>
  <c r="R148" i="6"/>
  <c r="R147" i="6"/>
  <c r="R146" i="6"/>
  <c r="K145" i="6"/>
  <c r="Q145" i="6" s="1"/>
  <c r="Q144" i="6" s="1"/>
  <c r="R144" i="6"/>
  <c r="P144" i="6"/>
  <c r="O144" i="6"/>
  <c r="N144" i="6"/>
  <c r="M144" i="6"/>
  <c r="J144" i="6"/>
  <c r="I144" i="6"/>
  <c r="H144" i="6"/>
  <c r="G144" i="6"/>
  <c r="F144" i="6"/>
  <c r="E144" i="6"/>
  <c r="D144" i="6"/>
  <c r="C144" i="6"/>
  <c r="R143" i="6"/>
  <c r="R142" i="6"/>
  <c r="R141" i="6"/>
  <c r="M140" i="6"/>
  <c r="M138" i="6" s="1"/>
  <c r="K140" i="6"/>
  <c r="P140" i="6" s="1"/>
  <c r="Q139" i="6"/>
  <c r="K139" i="6"/>
  <c r="L139" i="6" s="1"/>
  <c r="R138" i="6"/>
  <c r="P138" i="6"/>
  <c r="J138" i="6"/>
  <c r="I138" i="6"/>
  <c r="H138" i="6"/>
  <c r="G138" i="6"/>
  <c r="F138" i="6"/>
  <c r="E138" i="6"/>
  <c r="D138" i="6"/>
  <c r="C138" i="6"/>
  <c r="K137" i="6"/>
  <c r="R136" i="6"/>
  <c r="O136" i="6"/>
  <c r="N136" i="6"/>
  <c r="M136" i="6"/>
  <c r="J136" i="6"/>
  <c r="I136" i="6"/>
  <c r="H136" i="6"/>
  <c r="G136" i="6"/>
  <c r="F136" i="6"/>
  <c r="E136" i="6"/>
  <c r="D136" i="6"/>
  <c r="C136" i="6"/>
  <c r="K135" i="6"/>
  <c r="L135" i="6" s="1"/>
  <c r="Q134" i="6"/>
  <c r="L134" i="6"/>
  <c r="K134" i="6"/>
  <c r="R133" i="6"/>
  <c r="P133" i="6"/>
  <c r="O133" i="6"/>
  <c r="N133" i="6"/>
  <c r="M133" i="6"/>
  <c r="J133" i="6"/>
  <c r="I133" i="6"/>
  <c r="H133" i="6"/>
  <c r="G133" i="6"/>
  <c r="F133" i="6"/>
  <c r="E133" i="6"/>
  <c r="D133" i="6"/>
  <c r="C133" i="6"/>
  <c r="L133" i="6" s="1"/>
  <c r="K132" i="6"/>
  <c r="Q131" i="6"/>
  <c r="K131" i="6"/>
  <c r="L131" i="6" s="1"/>
  <c r="R130" i="6"/>
  <c r="P130" i="6"/>
  <c r="O130" i="6"/>
  <c r="N130" i="6"/>
  <c r="M130" i="6"/>
  <c r="J130" i="6"/>
  <c r="I130" i="6"/>
  <c r="H130" i="6"/>
  <c r="G130" i="6"/>
  <c r="F130" i="6"/>
  <c r="E130" i="6"/>
  <c r="D130" i="6"/>
  <c r="C130" i="6"/>
  <c r="L130" i="6" s="1"/>
  <c r="O129" i="6"/>
  <c r="O127" i="6" s="1"/>
  <c r="N129" i="6"/>
  <c r="N127" i="6" s="1"/>
  <c r="K129" i="6"/>
  <c r="L128" i="6"/>
  <c r="K128" i="6"/>
  <c r="Q128" i="6" s="1"/>
  <c r="R127" i="6"/>
  <c r="M127" i="6"/>
  <c r="J127" i="6"/>
  <c r="I127" i="6"/>
  <c r="H127" i="6"/>
  <c r="G127" i="6"/>
  <c r="F127" i="6"/>
  <c r="E127" i="6"/>
  <c r="D127" i="6"/>
  <c r="C127" i="6"/>
  <c r="K126" i="6"/>
  <c r="R125" i="6"/>
  <c r="P125" i="6"/>
  <c r="O125" i="6"/>
  <c r="N125" i="6"/>
  <c r="M125" i="6"/>
  <c r="J125" i="6"/>
  <c r="I125" i="6"/>
  <c r="H125" i="6"/>
  <c r="G125" i="6"/>
  <c r="F125" i="6"/>
  <c r="E125" i="6"/>
  <c r="D125" i="6"/>
  <c r="C125" i="6"/>
  <c r="L125" i="6" s="1"/>
  <c r="L124" i="6"/>
  <c r="K124" i="6"/>
  <c r="Q124" i="6" s="1"/>
  <c r="Q122" i="6" s="1"/>
  <c r="Q123" i="6"/>
  <c r="K123" i="6"/>
  <c r="L123" i="6" s="1"/>
  <c r="R122" i="6"/>
  <c r="P122" i="6"/>
  <c r="O122" i="6"/>
  <c r="N122" i="6"/>
  <c r="M122" i="6"/>
  <c r="J122" i="6"/>
  <c r="I122" i="6"/>
  <c r="H122" i="6"/>
  <c r="G122" i="6"/>
  <c r="F122" i="6"/>
  <c r="E122" i="6"/>
  <c r="D122" i="6"/>
  <c r="C122" i="6"/>
  <c r="K121" i="6"/>
  <c r="L120" i="6"/>
  <c r="K120" i="6"/>
  <c r="Q120" i="6" s="1"/>
  <c r="R119" i="6"/>
  <c r="P119" i="6"/>
  <c r="O119" i="6"/>
  <c r="N119" i="6"/>
  <c r="M119" i="6"/>
  <c r="J119" i="6"/>
  <c r="I119" i="6"/>
  <c r="H119" i="6"/>
  <c r="G119" i="6"/>
  <c r="F119" i="6"/>
  <c r="E119" i="6"/>
  <c r="D119" i="6"/>
  <c r="C119" i="6"/>
  <c r="K118" i="6"/>
  <c r="Q118" i="6" s="1"/>
  <c r="K117" i="6"/>
  <c r="R116" i="6"/>
  <c r="P116" i="6"/>
  <c r="O116" i="6"/>
  <c r="N116" i="6"/>
  <c r="M116" i="6"/>
  <c r="J116" i="6"/>
  <c r="I116" i="6"/>
  <c r="H116" i="6"/>
  <c r="G116" i="6"/>
  <c r="F116" i="6"/>
  <c r="E116" i="6"/>
  <c r="D116" i="6"/>
  <c r="C116" i="6"/>
  <c r="P115" i="6"/>
  <c r="P114" i="6" s="1"/>
  <c r="K115" i="6"/>
  <c r="L115" i="6" s="1"/>
  <c r="R114" i="6"/>
  <c r="O114" i="6"/>
  <c r="N114" i="6"/>
  <c r="M114" i="6"/>
  <c r="J114" i="6"/>
  <c r="I114" i="6"/>
  <c r="H114" i="6"/>
  <c r="G114" i="6"/>
  <c r="F114" i="6"/>
  <c r="E114" i="6"/>
  <c r="D114" i="6"/>
  <c r="C114" i="6"/>
  <c r="R113" i="6"/>
  <c r="R112" i="6"/>
  <c r="R111" i="6"/>
  <c r="K110" i="6"/>
  <c r="B110" i="6"/>
  <c r="R109" i="6"/>
  <c r="P109" i="6"/>
  <c r="O109" i="6"/>
  <c r="N109" i="6"/>
  <c r="M109" i="6"/>
  <c r="J109" i="6"/>
  <c r="I109" i="6"/>
  <c r="H109" i="6"/>
  <c r="G109" i="6"/>
  <c r="F109" i="6"/>
  <c r="E109" i="6"/>
  <c r="D109" i="6"/>
  <c r="C109" i="6"/>
  <c r="L109" i="6" s="1"/>
  <c r="K108" i="6"/>
  <c r="R107" i="6"/>
  <c r="O107" i="6"/>
  <c r="N107" i="6"/>
  <c r="M107" i="6"/>
  <c r="J107" i="6"/>
  <c r="I107" i="6"/>
  <c r="H107" i="6"/>
  <c r="G107" i="6"/>
  <c r="F107" i="6"/>
  <c r="E107" i="6"/>
  <c r="D107" i="6"/>
  <c r="C107" i="6"/>
  <c r="K106" i="6"/>
  <c r="Q106" i="6" s="1"/>
  <c r="K105" i="6"/>
  <c r="R104" i="6"/>
  <c r="P104" i="6"/>
  <c r="O104" i="6"/>
  <c r="N104" i="6"/>
  <c r="M104" i="6"/>
  <c r="J104" i="6"/>
  <c r="I104" i="6"/>
  <c r="H104" i="6"/>
  <c r="G104" i="6"/>
  <c r="F104" i="6"/>
  <c r="E104" i="6"/>
  <c r="D104" i="6"/>
  <c r="C104" i="6"/>
  <c r="K103" i="6"/>
  <c r="L103" i="6" s="1"/>
  <c r="R102" i="6"/>
  <c r="P102" i="6"/>
  <c r="O102" i="6"/>
  <c r="N102" i="6"/>
  <c r="M102" i="6"/>
  <c r="J102" i="6"/>
  <c r="I102" i="6"/>
  <c r="H102" i="6"/>
  <c r="G102" i="6"/>
  <c r="F102" i="6"/>
  <c r="E102" i="6"/>
  <c r="D102" i="6"/>
  <c r="C102" i="6"/>
  <c r="K101" i="6"/>
  <c r="D100" i="6"/>
  <c r="D99" i="6" s="1"/>
  <c r="R99" i="6"/>
  <c r="P99" i="6"/>
  <c r="O99" i="6"/>
  <c r="N99" i="6"/>
  <c r="M99" i="6"/>
  <c r="J99" i="6"/>
  <c r="I99" i="6"/>
  <c r="H99" i="6"/>
  <c r="G99" i="6"/>
  <c r="F99" i="6"/>
  <c r="E99" i="6"/>
  <c r="C99" i="6"/>
  <c r="E98" i="6"/>
  <c r="F98" i="6" s="1"/>
  <c r="D98" i="6"/>
  <c r="R97" i="6"/>
  <c r="D97" i="6"/>
  <c r="C97" i="6"/>
  <c r="K96" i="6"/>
  <c r="D95" i="6"/>
  <c r="R94" i="6"/>
  <c r="P94" i="6"/>
  <c r="O94" i="6"/>
  <c r="N94" i="6"/>
  <c r="M94" i="6"/>
  <c r="J94" i="6"/>
  <c r="I94" i="6"/>
  <c r="H94" i="6"/>
  <c r="G94" i="6"/>
  <c r="F94" i="6"/>
  <c r="C94" i="6"/>
  <c r="N93" i="6"/>
  <c r="O93" i="6" s="1"/>
  <c r="H93" i="6"/>
  <c r="I93" i="6" s="1"/>
  <c r="G93" i="6"/>
  <c r="D92" i="6"/>
  <c r="E92" i="6" s="1"/>
  <c r="R91" i="6"/>
  <c r="N91" i="6"/>
  <c r="M91" i="6"/>
  <c r="H91" i="6"/>
  <c r="G91" i="6"/>
  <c r="F91" i="6"/>
  <c r="D91" i="6"/>
  <c r="C91" i="6"/>
  <c r="O90" i="6"/>
  <c r="O88" i="6" s="1"/>
  <c r="K90" i="6"/>
  <c r="L90" i="6" s="1"/>
  <c r="L89" i="6"/>
  <c r="K89" i="6"/>
  <c r="Q89" i="6" s="1"/>
  <c r="R88" i="6"/>
  <c r="N88" i="6"/>
  <c r="M88" i="6"/>
  <c r="J88" i="6"/>
  <c r="I88" i="6"/>
  <c r="H88" i="6"/>
  <c r="G88" i="6"/>
  <c r="F88" i="6"/>
  <c r="E88" i="6"/>
  <c r="D88" i="6"/>
  <c r="C88" i="6"/>
  <c r="L88" i="6" s="1"/>
  <c r="M87" i="6"/>
  <c r="N87" i="6" s="1"/>
  <c r="K87" i="6"/>
  <c r="Q86" i="6"/>
  <c r="K86" i="6"/>
  <c r="L86" i="6" s="1"/>
  <c r="R85" i="6"/>
  <c r="J85" i="6"/>
  <c r="I85" i="6"/>
  <c r="H85" i="6"/>
  <c r="G85" i="6"/>
  <c r="F85" i="6"/>
  <c r="E85" i="6"/>
  <c r="D85" i="6"/>
  <c r="C85" i="6"/>
  <c r="K84" i="6"/>
  <c r="K83" i="6"/>
  <c r="R82" i="6"/>
  <c r="J82" i="6"/>
  <c r="I82" i="6"/>
  <c r="H82" i="6"/>
  <c r="G82" i="6"/>
  <c r="F82" i="6"/>
  <c r="E82" i="6"/>
  <c r="D82" i="6"/>
  <c r="C82" i="6"/>
  <c r="L81" i="6"/>
  <c r="K81" i="6"/>
  <c r="Q81" i="6" s="1"/>
  <c r="Q80" i="6" s="1"/>
  <c r="R80" i="6"/>
  <c r="P80" i="6"/>
  <c r="O80" i="6"/>
  <c r="N80" i="6"/>
  <c r="M80" i="6"/>
  <c r="J80" i="6"/>
  <c r="I80" i="6"/>
  <c r="H80" i="6"/>
  <c r="G80" i="6"/>
  <c r="F80" i="6"/>
  <c r="E80" i="6"/>
  <c r="D80" i="6"/>
  <c r="C80" i="6"/>
  <c r="R79" i="6"/>
  <c r="R78" i="6"/>
  <c r="P77" i="6"/>
  <c r="P75" i="6" s="1"/>
  <c r="L77" i="6"/>
  <c r="K77" i="6"/>
  <c r="O77" i="6" s="1"/>
  <c r="O75" i="6" s="1"/>
  <c r="K76" i="6"/>
  <c r="Q76" i="6" s="1"/>
  <c r="J75" i="6"/>
  <c r="I75" i="6"/>
  <c r="H75" i="6"/>
  <c r="G75" i="6"/>
  <c r="F75" i="6"/>
  <c r="E75" i="6"/>
  <c r="D75" i="6"/>
  <c r="C75" i="6"/>
  <c r="Q74" i="6"/>
  <c r="Q73" i="6" s="1"/>
  <c r="K74" i="6"/>
  <c r="L74" i="6" s="1"/>
  <c r="B74" i="6"/>
  <c r="P73" i="6"/>
  <c r="O73" i="6"/>
  <c r="N73" i="6"/>
  <c r="M73" i="6"/>
  <c r="J73" i="6"/>
  <c r="I73" i="6"/>
  <c r="H73" i="6"/>
  <c r="G73" i="6"/>
  <c r="F73" i="6"/>
  <c r="E73" i="6"/>
  <c r="D73" i="6"/>
  <c r="C73" i="6"/>
  <c r="K72" i="6"/>
  <c r="Q72" i="6" s="1"/>
  <c r="K71" i="6"/>
  <c r="Q71" i="6" s="1"/>
  <c r="K70" i="6"/>
  <c r="Q70" i="6" s="1"/>
  <c r="I70" i="6"/>
  <c r="K69" i="6"/>
  <c r="Q69" i="6" s="1"/>
  <c r="P68" i="6"/>
  <c r="O68" i="6"/>
  <c r="N68" i="6"/>
  <c r="M68" i="6"/>
  <c r="J68" i="6"/>
  <c r="I68" i="6"/>
  <c r="H68" i="6"/>
  <c r="G68" i="6"/>
  <c r="F68" i="6"/>
  <c r="E68" i="6"/>
  <c r="D68" i="6"/>
  <c r="C68" i="6"/>
  <c r="Q67" i="6"/>
  <c r="Q66" i="6" s="1"/>
  <c r="L67" i="6"/>
  <c r="K67" i="6"/>
  <c r="R66" i="6"/>
  <c r="P66" i="6"/>
  <c r="O66" i="6"/>
  <c r="N66" i="6"/>
  <c r="M66" i="6"/>
  <c r="J66" i="6"/>
  <c r="I66" i="6"/>
  <c r="H66" i="6"/>
  <c r="G66" i="6"/>
  <c r="F66" i="6"/>
  <c r="E66" i="6"/>
  <c r="D66" i="6"/>
  <c r="C66" i="6"/>
  <c r="L66" i="6" s="1"/>
  <c r="K65" i="6"/>
  <c r="R64" i="6"/>
  <c r="J64" i="6"/>
  <c r="I64" i="6"/>
  <c r="H64" i="6"/>
  <c r="G64" i="6"/>
  <c r="F64" i="6"/>
  <c r="E64" i="6"/>
  <c r="D64" i="6"/>
  <c r="C64" i="6"/>
  <c r="R63" i="6"/>
  <c r="R62" i="6"/>
  <c r="R61" i="6"/>
  <c r="R60" i="6"/>
  <c r="R59" i="6"/>
  <c r="R58" i="6"/>
  <c r="K57" i="6"/>
  <c r="O57" i="6" s="1"/>
  <c r="O55" i="6" s="1"/>
  <c r="K56" i="6"/>
  <c r="L56" i="6" s="1"/>
  <c r="R55" i="6"/>
  <c r="J55" i="6"/>
  <c r="I55" i="6"/>
  <c r="H55" i="6"/>
  <c r="G55" i="6"/>
  <c r="F55" i="6"/>
  <c r="E55" i="6"/>
  <c r="D55" i="6"/>
  <c r="C55" i="6"/>
  <c r="L55" i="6" s="1"/>
  <c r="K54" i="6"/>
  <c r="Q54" i="6" s="1"/>
  <c r="Q53" i="6" s="1"/>
  <c r="R53" i="6"/>
  <c r="P53" i="6"/>
  <c r="O53" i="6"/>
  <c r="N53" i="6"/>
  <c r="M53" i="6"/>
  <c r="J53" i="6"/>
  <c r="I53" i="6"/>
  <c r="H53" i="6"/>
  <c r="G53" i="6"/>
  <c r="F53" i="6"/>
  <c r="E53" i="6"/>
  <c r="D53" i="6"/>
  <c r="C53" i="6"/>
  <c r="J52" i="6"/>
  <c r="M52" i="6" s="1"/>
  <c r="N52" i="6" s="1"/>
  <c r="O52" i="6" s="1"/>
  <c r="P52" i="6" s="1"/>
  <c r="F52" i="6"/>
  <c r="E52" i="6"/>
  <c r="B52" i="6"/>
  <c r="J51" i="6"/>
  <c r="M51" i="6" s="1"/>
  <c r="F51" i="6"/>
  <c r="E51" i="6"/>
  <c r="E50" i="6" s="1"/>
  <c r="B51" i="6"/>
  <c r="R50" i="6"/>
  <c r="F50" i="6"/>
  <c r="R49" i="6"/>
  <c r="K48" i="6"/>
  <c r="Q47" i="6"/>
  <c r="L47" i="6"/>
  <c r="K47" i="6"/>
  <c r="B47" i="6"/>
  <c r="Q46" i="6"/>
  <c r="L46" i="6"/>
  <c r="K46" i="6"/>
  <c r="Q45" i="6"/>
  <c r="K45" i="6"/>
  <c r="L45" i="6" s="1"/>
  <c r="K44" i="6"/>
  <c r="K43" i="6"/>
  <c r="L43" i="6" s="1"/>
  <c r="Q42" i="6"/>
  <c r="K42" i="6"/>
  <c r="L42" i="6" s="1"/>
  <c r="K41" i="6"/>
  <c r="K40" i="6"/>
  <c r="Q40" i="6" s="1"/>
  <c r="K39" i="6"/>
  <c r="B39" i="6"/>
  <c r="K38" i="6"/>
  <c r="L38" i="6" s="1"/>
  <c r="R37" i="6"/>
  <c r="P37" i="6"/>
  <c r="O37" i="6"/>
  <c r="N37" i="6"/>
  <c r="M37" i="6"/>
  <c r="J37" i="6"/>
  <c r="I37" i="6"/>
  <c r="H37" i="6"/>
  <c r="G37" i="6"/>
  <c r="F37" i="6"/>
  <c r="E37" i="6"/>
  <c r="D37" i="6"/>
  <c r="C37" i="6"/>
  <c r="K36" i="6"/>
  <c r="N36" i="6" s="1"/>
  <c r="N34" i="6" s="1"/>
  <c r="K35" i="6"/>
  <c r="Q35" i="6" s="1"/>
  <c r="R34" i="6"/>
  <c r="J34" i="6"/>
  <c r="I34" i="6"/>
  <c r="H34" i="6"/>
  <c r="G34" i="6"/>
  <c r="F34" i="6"/>
  <c r="E34" i="6"/>
  <c r="D34" i="6"/>
  <c r="C34" i="6"/>
  <c r="K33" i="6"/>
  <c r="L33" i="6" s="1"/>
  <c r="Q32" i="6"/>
  <c r="L32" i="6"/>
  <c r="K32" i="6"/>
  <c r="R31" i="6"/>
  <c r="P31" i="6"/>
  <c r="O31" i="6"/>
  <c r="N31" i="6"/>
  <c r="M31" i="6"/>
  <c r="J31" i="6"/>
  <c r="I31" i="6"/>
  <c r="H31" i="6"/>
  <c r="G31" i="6"/>
  <c r="F31" i="6"/>
  <c r="E31" i="6"/>
  <c r="D31" i="6"/>
  <c r="C31" i="6"/>
  <c r="L31" i="6" s="1"/>
  <c r="K30" i="6"/>
  <c r="Q30" i="6" s="1"/>
  <c r="Q29" i="6"/>
  <c r="K29" i="6"/>
  <c r="L29" i="6" s="1"/>
  <c r="R28" i="6"/>
  <c r="P28" i="6"/>
  <c r="O28" i="6"/>
  <c r="N28" i="6"/>
  <c r="M28" i="6"/>
  <c r="J28" i="6"/>
  <c r="I28" i="6"/>
  <c r="H28" i="6"/>
  <c r="G28" i="6"/>
  <c r="F28" i="6"/>
  <c r="E28" i="6"/>
  <c r="D28" i="6"/>
  <c r="C28" i="6"/>
  <c r="L28" i="6" s="1"/>
  <c r="K27" i="6"/>
  <c r="K26" i="6"/>
  <c r="Q26" i="6" s="1"/>
  <c r="R25" i="6"/>
  <c r="J25" i="6"/>
  <c r="I25" i="6"/>
  <c r="H25" i="6"/>
  <c r="G25" i="6"/>
  <c r="F25" i="6"/>
  <c r="E25" i="6"/>
  <c r="D25" i="6"/>
  <c r="C25" i="6"/>
  <c r="K24" i="6"/>
  <c r="O24" i="6" s="1"/>
  <c r="O22" i="6" s="1"/>
  <c r="K23" i="6"/>
  <c r="R22" i="6"/>
  <c r="J22" i="6"/>
  <c r="I22" i="6"/>
  <c r="H22" i="6"/>
  <c r="G22" i="6"/>
  <c r="F22" i="6"/>
  <c r="E22" i="6"/>
  <c r="D22" i="6"/>
  <c r="C22" i="6"/>
  <c r="M21" i="6"/>
  <c r="M19" i="6" s="1"/>
  <c r="K21" i="6"/>
  <c r="P21" i="6" s="1"/>
  <c r="K20" i="6"/>
  <c r="Q20" i="6" s="1"/>
  <c r="R19" i="6"/>
  <c r="P19" i="6"/>
  <c r="J19" i="6"/>
  <c r="I19" i="6"/>
  <c r="H19" i="6"/>
  <c r="G19" i="6"/>
  <c r="F19" i="6"/>
  <c r="E19" i="6"/>
  <c r="D19" i="6"/>
  <c r="C19" i="6"/>
  <c r="R18" i="6"/>
  <c r="R17" i="6"/>
  <c r="R16" i="6"/>
  <c r="R15" i="6"/>
  <c r="R14" i="6"/>
  <c r="R13" i="6"/>
  <c r="R12" i="6"/>
  <c r="R11" i="6"/>
  <c r="R10" i="6"/>
  <c r="R9" i="6"/>
  <c r="R8" i="6"/>
  <c r="C4" i="6"/>
  <c r="B4" i="6" s="1"/>
  <c r="K92" i="6" l="1"/>
  <c r="E91" i="6"/>
  <c r="L20" i="6"/>
  <c r="N21" i="6"/>
  <c r="N19" i="6" s="1"/>
  <c r="L24" i="6"/>
  <c r="L25" i="6"/>
  <c r="Q33" i="6"/>
  <c r="L35" i="6"/>
  <c r="L57" i="6"/>
  <c r="L75" i="6"/>
  <c r="M77" i="6"/>
  <c r="M75" i="6" s="1"/>
  <c r="L80" i="6"/>
  <c r="L85" i="6"/>
  <c r="M85" i="6"/>
  <c r="K100" i="6"/>
  <c r="Q103" i="6"/>
  <c r="Q102" i="6" s="1"/>
  <c r="L106" i="6"/>
  <c r="L122" i="6"/>
  <c r="Q135" i="6"/>
  <c r="Q133" i="6" s="1"/>
  <c r="L149" i="6"/>
  <c r="L156" i="6"/>
  <c r="L170" i="6"/>
  <c r="Q171" i="6"/>
  <c r="Q170" i="6" s="1"/>
  <c r="L173" i="6"/>
  <c r="M24" i="6"/>
  <c r="M22" i="6" s="1"/>
  <c r="Q28" i="6"/>
  <c r="L53" i="6"/>
  <c r="N57" i="6"/>
  <c r="N55" i="6" s="1"/>
  <c r="L82" i="6"/>
  <c r="L104" i="6"/>
  <c r="L136" i="6"/>
  <c r="L19" i="6"/>
  <c r="N24" i="6"/>
  <c r="N22" i="6" s="1"/>
  <c r="O36" i="6"/>
  <c r="O34" i="6" s="1"/>
  <c r="J50" i="6"/>
  <c r="L99" i="6"/>
  <c r="P129" i="6"/>
  <c r="P127" i="6" s="1"/>
  <c r="L138" i="6"/>
  <c r="N140" i="6"/>
  <c r="L144" i="6"/>
  <c r="L157" i="6"/>
  <c r="P171" i="6"/>
  <c r="P170" i="6" s="1"/>
  <c r="L174" i="6"/>
  <c r="P24" i="6"/>
  <c r="P22" i="6" s="1"/>
  <c r="P174" i="6"/>
  <c r="P173" i="6" s="1"/>
  <c r="N27" i="6"/>
  <c r="N25" i="6" s="1"/>
  <c r="P27" i="6"/>
  <c r="P25" i="6" s="1"/>
  <c r="M27" i="6"/>
  <c r="M25" i="6" s="1"/>
  <c r="L27" i="6"/>
  <c r="L48" i="6"/>
  <c r="Q48" i="6"/>
  <c r="N84" i="6"/>
  <c r="N82" i="6" s="1"/>
  <c r="M84" i="6"/>
  <c r="M82" i="6" s="1"/>
  <c r="P84" i="6"/>
  <c r="P82" i="6" s="1"/>
  <c r="L84" i="6"/>
  <c r="O84" i="6"/>
  <c r="O82" i="6" s="1"/>
  <c r="Q137" i="6"/>
  <c r="P137" i="6"/>
  <c r="P136" i="6" s="1"/>
  <c r="L137" i="6"/>
  <c r="L34" i="6"/>
  <c r="Q44" i="6"/>
  <c r="L44" i="6"/>
  <c r="M50" i="6"/>
  <c r="N51" i="6"/>
  <c r="Q92" i="6"/>
  <c r="L92" i="6"/>
  <c r="D94" i="6"/>
  <c r="L94" i="6" s="1"/>
  <c r="E95" i="6"/>
  <c r="E94" i="6" s="1"/>
  <c r="Q121" i="6"/>
  <c r="Q119" i="6" s="1"/>
  <c r="L121" i="6"/>
  <c r="N138" i="6"/>
  <c r="K161" i="6"/>
  <c r="D160" i="6"/>
  <c r="L160" i="6" s="1"/>
  <c r="O87" i="6"/>
  <c r="N85" i="6"/>
  <c r="Q101" i="6"/>
  <c r="L101" i="6"/>
  <c r="Q117" i="6"/>
  <c r="Q116" i="6" s="1"/>
  <c r="L117" i="6"/>
  <c r="L22" i="6"/>
  <c r="O27" i="6"/>
  <c r="O25" i="6" s="1"/>
  <c r="L41" i="6"/>
  <c r="Q41" i="6"/>
  <c r="J93" i="6"/>
  <c r="J91" i="6" s="1"/>
  <c r="I91" i="6"/>
  <c r="Q105" i="6"/>
  <c r="Q104" i="6" s="1"/>
  <c r="L105" i="6"/>
  <c r="Q23" i="6"/>
  <c r="L23" i="6"/>
  <c r="Q31" i="6"/>
  <c r="L39" i="6"/>
  <c r="Q39" i="6"/>
  <c r="M65" i="6"/>
  <c r="M64" i="6" s="1"/>
  <c r="P65" i="6"/>
  <c r="P64" i="6" s="1"/>
  <c r="L65" i="6"/>
  <c r="N65" i="6"/>
  <c r="N64" i="6" s="1"/>
  <c r="O65" i="6"/>
  <c r="O64" i="6" s="1"/>
  <c r="Q126" i="6"/>
  <c r="Q125" i="6" s="1"/>
  <c r="L126" i="6"/>
  <c r="Q24" i="6"/>
  <c r="L68" i="6"/>
  <c r="L73" i="6"/>
  <c r="L107" i="6"/>
  <c r="Q132" i="6"/>
  <c r="Q130" i="6" s="1"/>
  <c r="L132" i="6"/>
  <c r="O21" i="6"/>
  <c r="L26" i="6"/>
  <c r="L30" i="6"/>
  <c r="L36" i="6"/>
  <c r="Q38" i="6"/>
  <c r="H51" i="6"/>
  <c r="H50" i="6" s="1"/>
  <c r="D51" i="6"/>
  <c r="G51" i="6"/>
  <c r="G50" i="6" s="1"/>
  <c r="H52" i="6"/>
  <c r="D52" i="6"/>
  <c r="G52" i="6"/>
  <c r="L54" i="6"/>
  <c r="Q56" i="6"/>
  <c r="Q68" i="6"/>
  <c r="L76" i="6"/>
  <c r="L87" i="6"/>
  <c r="P90" i="6"/>
  <c r="P88" i="6" s="1"/>
  <c r="K93" i="6"/>
  <c r="P93" i="6"/>
  <c r="P91" i="6" s="1"/>
  <c r="O91" i="6"/>
  <c r="E97" i="6"/>
  <c r="L102" i="6"/>
  <c r="Q110" i="6"/>
  <c r="Q109" i="6" s="1"/>
  <c r="L110" i="6"/>
  <c r="L114" i="6"/>
  <c r="Q115" i="6"/>
  <c r="Q114" i="6" s="1"/>
  <c r="L118" i="6"/>
  <c r="L127" i="6"/>
  <c r="P36" i="6"/>
  <c r="P34" i="6" s="1"/>
  <c r="L64" i="6"/>
  <c r="P108" i="6"/>
  <c r="P107" i="6" s="1"/>
  <c r="L108" i="6"/>
  <c r="Q129" i="6"/>
  <c r="Q127" i="6" s="1"/>
  <c r="L129" i="6"/>
  <c r="L21" i="6"/>
  <c r="M36" i="6"/>
  <c r="M34" i="6" s="1"/>
  <c r="L37" i="6"/>
  <c r="L40" i="6"/>
  <c r="Q43" i="6"/>
  <c r="C51" i="6"/>
  <c r="I51" i="6"/>
  <c r="C52" i="6"/>
  <c r="I52" i="6"/>
  <c r="M57" i="6"/>
  <c r="M55" i="6" s="1"/>
  <c r="P57" i="6"/>
  <c r="P55" i="6" s="1"/>
  <c r="Q83" i="6"/>
  <c r="L83" i="6"/>
  <c r="L91" i="6"/>
  <c r="Q96" i="6"/>
  <c r="L96" i="6"/>
  <c r="F97" i="6"/>
  <c r="G98" i="6"/>
  <c r="Q100" i="6"/>
  <c r="Q99" i="6" s="1"/>
  <c r="L100" i="6"/>
  <c r="L116" i="6"/>
  <c r="L119" i="6"/>
  <c r="O149" i="6"/>
  <c r="P151" i="6"/>
  <c r="P149" i="6" s="1"/>
  <c r="N77" i="6"/>
  <c r="N75" i="6" s="1"/>
  <c r="O140" i="6"/>
  <c r="O138" i="6" s="1"/>
  <c r="L140" i="6"/>
  <c r="L151" i="6"/>
  <c r="Q77" i="6" l="1"/>
  <c r="Q136" i="6"/>
  <c r="Q174" i="6"/>
  <c r="Q173" i="6" s="1"/>
  <c r="H98" i="6"/>
  <c r="G97" i="6"/>
  <c r="P87" i="6"/>
  <c r="P85" i="6" s="1"/>
  <c r="O85" i="6"/>
  <c r="Q84" i="6"/>
  <c r="Q82" i="6" s="1"/>
  <c r="Q37" i="6"/>
  <c r="N50" i="6"/>
  <c r="O51" i="6"/>
  <c r="I50" i="6"/>
  <c r="Q36" i="6"/>
  <c r="O19" i="6"/>
  <c r="Q21" i="6"/>
  <c r="Q22" i="6"/>
  <c r="K95" i="6"/>
  <c r="Q108" i="6"/>
  <c r="Q107" i="6" s="1"/>
  <c r="Q27" i="6"/>
  <c r="Q65" i="6"/>
  <c r="Q64" i="6" s="1"/>
  <c r="Q140" i="6"/>
  <c r="Q90" i="6"/>
  <c r="Q88" i="6" s="1"/>
  <c r="K52" i="6"/>
  <c r="Q57" i="6"/>
  <c r="Q55" i="6" s="1"/>
  <c r="C50" i="6"/>
  <c r="K51" i="6"/>
  <c r="Q93" i="6"/>
  <c r="Q91" i="6" s="1"/>
  <c r="L93" i="6"/>
  <c r="D50" i="6"/>
  <c r="Q151" i="6"/>
  <c r="Q149" i="6" s="1"/>
  <c r="Q161" i="6"/>
  <c r="Q160" i="6" s="1"/>
  <c r="L161" i="6"/>
  <c r="Q25" i="6" l="1"/>
  <c r="Q19" i="6"/>
  <c r="Q75" i="6"/>
  <c r="L50" i="6"/>
  <c r="Q138" i="6"/>
  <c r="Q34" i="6"/>
  <c r="Q87" i="6"/>
  <c r="Q85" i="6" s="1"/>
  <c r="L52" i="6"/>
  <c r="Q52" i="6"/>
  <c r="P51" i="6"/>
  <c r="P50" i="6" s="1"/>
  <c r="O50" i="6"/>
  <c r="H97" i="6"/>
  <c r="I98" i="6"/>
  <c r="L51" i="6"/>
  <c r="L95" i="6"/>
  <c r="Q95" i="6"/>
  <c r="Q94" i="6" s="1"/>
  <c r="Q51" i="6" l="1"/>
  <c r="I97" i="6"/>
  <c r="J98" i="6"/>
  <c r="K98" i="6"/>
  <c r="L97" i="6" l="1"/>
  <c r="J97" i="6"/>
  <c r="M98" i="6"/>
  <c r="L98" i="6"/>
  <c r="N98" i="6" l="1"/>
  <c r="M97" i="6"/>
  <c r="O98" i="6" l="1"/>
  <c r="N97" i="6"/>
  <c r="P98" i="6" l="1"/>
  <c r="O97" i="6"/>
  <c r="P97" i="6" l="1"/>
  <c r="Q98" i="6"/>
  <c r="Q97" i="6" s="1"/>
  <c r="E46" i="5" l="1"/>
  <c r="E45" i="5" s="1"/>
  <c r="F39" i="5"/>
  <c r="I38" i="5"/>
  <c r="J38" i="5" s="1"/>
  <c r="J36" i="5" s="1"/>
  <c r="F36" i="5"/>
  <c r="F34" i="5"/>
  <c r="F33" i="5"/>
  <c r="F32" i="5"/>
  <c r="F31" i="5" s="1"/>
  <c r="F40" i="5" s="1"/>
  <c r="F27" i="5"/>
  <c r="J26" i="5"/>
  <c r="F26" i="5"/>
  <c r="J25" i="5"/>
  <c r="F25" i="5"/>
  <c r="F24" i="5"/>
  <c r="F23" i="5"/>
  <c r="F22" i="5"/>
  <c r="F21" i="5"/>
  <c r="F18" i="5" s="1"/>
  <c r="F20" i="5"/>
  <c r="J19" i="5"/>
  <c r="F19" i="5"/>
  <c r="J18" i="5"/>
  <c r="I18" i="5"/>
  <c r="J16" i="5"/>
  <c r="F16" i="5"/>
  <c r="I15" i="5"/>
  <c r="J15" i="5" s="1"/>
  <c r="F15" i="5"/>
  <c r="F14" i="5"/>
  <c r="I14" i="5" s="1"/>
  <c r="J14" i="5" s="1"/>
  <c r="J13" i="5"/>
  <c r="F13" i="5"/>
  <c r="F12" i="5"/>
  <c r="J11" i="5"/>
  <c r="F11" i="5"/>
  <c r="F10" i="5"/>
  <c r="I10" i="5" s="1"/>
  <c r="F9" i="5"/>
  <c r="F8" i="5"/>
  <c r="F6" i="5" s="1"/>
  <c r="F28" i="5" s="1"/>
  <c r="F41" i="5" s="1"/>
  <c r="F7" i="5"/>
  <c r="P79" i="1"/>
  <c r="P47" i="4"/>
  <c r="Q47" i="4" s="1"/>
  <c r="L60" i="4"/>
  <c r="M60" i="4" s="1"/>
  <c r="K60" i="4"/>
  <c r="R59" i="4"/>
  <c r="S59" i="4" s="1"/>
  <c r="P59" i="4"/>
  <c r="Q59" i="4" s="1"/>
  <c r="M59" i="4"/>
  <c r="R58" i="4"/>
  <c r="R60" i="4" s="1"/>
  <c r="P58" i="4"/>
  <c r="Q58" i="4" s="1"/>
  <c r="Q60" i="4" s="1"/>
  <c r="M58" i="4"/>
  <c r="R56" i="4"/>
  <c r="K56" i="4"/>
  <c r="S55" i="4"/>
  <c r="Q55" i="4"/>
  <c r="F55" i="4"/>
  <c r="G55" i="4" s="1"/>
  <c r="L55" i="4" s="1"/>
  <c r="M55" i="4" s="1"/>
  <c r="E55" i="4"/>
  <c r="S54" i="4"/>
  <c r="P54" i="4"/>
  <c r="Q54" i="4" s="1"/>
  <c r="F54" i="4"/>
  <c r="G54" i="4" s="1"/>
  <c r="L54" i="4" s="1"/>
  <c r="M54" i="4" s="1"/>
  <c r="S53" i="4"/>
  <c r="Q53" i="4"/>
  <c r="F53" i="4"/>
  <c r="G53" i="4" s="1"/>
  <c r="L53" i="4" s="1"/>
  <c r="M53" i="4" s="1"/>
  <c r="S52" i="4"/>
  <c r="P52" i="4"/>
  <c r="Q52" i="4" s="1"/>
  <c r="F52" i="4"/>
  <c r="G52" i="4" s="1"/>
  <c r="L52" i="4" s="1"/>
  <c r="M52" i="4" s="1"/>
  <c r="S51" i="4"/>
  <c r="P51" i="4"/>
  <c r="Q51" i="4" s="1"/>
  <c r="E51" i="4"/>
  <c r="F51" i="4" s="1"/>
  <c r="G51" i="4" s="1"/>
  <c r="L51" i="4" s="1"/>
  <c r="M51" i="4" s="1"/>
  <c r="S50" i="4"/>
  <c r="P50" i="4"/>
  <c r="Q50" i="4" s="1"/>
  <c r="F50" i="4"/>
  <c r="G50" i="4" s="1"/>
  <c r="L50" i="4" s="1"/>
  <c r="M50" i="4" s="1"/>
  <c r="S49" i="4"/>
  <c r="P49" i="4"/>
  <c r="Q49" i="4" s="1"/>
  <c r="G49" i="4"/>
  <c r="L49" i="4" s="1"/>
  <c r="M49" i="4" s="1"/>
  <c r="F49" i="4"/>
  <c r="S48" i="4"/>
  <c r="P48" i="4"/>
  <c r="Q48" i="4" s="1"/>
  <c r="F48" i="4"/>
  <c r="G48" i="4" s="1"/>
  <c r="L48" i="4" s="1"/>
  <c r="M48" i="4" s="1"/>
  <c r="E48" i="4"/>
  <c r="S47" i="4"/>
  <c r="F47" i="4"/>
  <c r="G47" i="4" s="1"/>
  <c r="L47" i="4" s="1"/>
  <c r="M47" i="4" s="1"/>
  <c r="E47" i="4"/>
  <c r="K45" i="4"/>
  <c r="J45" i="4"/>
  <c r="P44" i="4"/>
  <c r="J44" i="4"/>
  <c r="K44" i="4" s="1"/>
  <c r="R43" i="4"/>
  <c r="J43" i="4"/>
  <c r="K43" i="4" s="1"/>
  <c r="R42" i="4"/>
  <c r="R46" i="4" s="1"/>
  <c r="J42" i="4"/>
  <c r="K42" i="4" s="1"/>
  <c r="J41" i="4"/>
  <c r="P41" i="4" s="1"/>
  <c r="G41" i="4"/>
  <c r="G46" i="4" s="1"/>
  <c r="R40" i="4"/>
  <c r="J39" i="4"/>
  <c r="K39" i="4" s="1"/>
  <c r="J38" i="4"/>
  <c r="K38" i="4" s="1"/>
  <c r="J37" i="4"/>
  <c r="K37" i="4" s="1"/>
  <c r="P36" i="4"/>
  <c r="U36" i="4" s="1"/>
  <c r="J36" i="4"/>
  <c r="K36" i="4" s="1"/>
  <c r="S36" i="4" s="1"/>
  <c r="P35" i="4"/>
  <c r="U35" i="4" s="1"/>
  <c r="J35" i="4"/>
  <c r="K35" i="4" s="1"/>
  <c r="S35" i="4" s="1"/>
  <c r="P34" i="4"/>
  <c r="U34" i="4" s="1"/>
  <c r="J34" i="4"/>
  <c r="K34" i="4" s="1"/>
  <c r="S34" i="4" s="1"/>
  <c r="G34" i="4"/>
  <c r="J33" i="4"/>
  <c r="P33" i="4" s="1"/>
  <c r="G33" i="4"/>
  <c r="S32" i="4"/>
  <c r="J32" i="4"/>
  <c r="K32" i="4" s="1"/>
  <c r="L32" i="4" s="1"/>
  <c r="M32" i="4" s="1"/>
  <c r="G32" i="4"/>
  <c r="J31" i="4"/>
  <c r="P31" i="4" s="1"/>
  <c r="G31" i="4"/>
  <c r="J30" i="4"/>
  <c r="K30" i="4" s="1"/>
  <c r="G30" i="4"/>
  <c r="K29" i="4"/>
  <c r="Q29" i="4" s="1"/>
  <c r="J29" i="4"/>
  <c r="P29" i="4" s="1"/>
  <c r="G29" i="4"/>
  <c r="K28" i="4"/>
  <c r="S28" i="4" s="1"/>
  <c r="J28" i="4"/>
  <c r="G28" i="4"/>
  <c r="J27" i="4"/>
  <c r="K27" i="4" s="1"/>
  <c r="G27" i="4"/>
  <c r="J26" i="4"/>
  <c r="P26" i="4" s="1"/>
  <c r="G26" i="4"/>
  <c r="S25" i="4"/>
  <c r="P25" i="4"/>
  <c r="U25" i="4" s="1"/>
  <c r="L25" i="4"/>
  <c r="M25" i="4" s="1"/>
  <c r="J25" i="4"/>
  <c r="K25" i="4" s="1"/>
  <c r="G25" i="4"/>
  <c r="J24" i="4"/>
  <c r="P24" i="4" s="1"/>
  <c r="G24" i="4"/>
  <c r="P23" i="4"/>
  <c r="U23" i="4" s="1"/>
  <c r="J23" i="4"/>
  <c r="K23" i="4" s="1"/>
  <c r="S23" i="4" s="1"/>
  <c r="G23" i="4"/>
  <c r="J22" i="4"/>
  <c r="P22" i="4" s="1"/>
  <c r="J21" i="4"/>
  <c r="P21" i="4" s="1"/>
  <c r="G21" i="4"/>
  <c r="P20" i="4"/>
  <c r="U20" i="4" s="1"/>
  <c r="J20" i="4"/>
  <c r="K20" i="4" s="1"/>
  <c r="S20" i="4" s="1"/>
  <c r="G20" i="4"/>
  <c r="K19" i="4"/>
  <c r="M19" i="4" s="1"/>
  <c r="J19" i="4"/>
  <c r="P19" i="4" s="1"/>
  <c r="G19" i="4"/>
  <c r="J18" i="4"/>
  <c r="K18" i="4" s="1"/>
  <c r="S18" i="4" s="1"/>
  <c r="G18" i="4"/>
  <c r="L18" i="4" s="1"/>
  <c r="M18" i="4" s="1"/>
  <c r="K17" i="4"/>
  <c r="Q17" i="4" s="1"/>
  <c r="J17" i="4"/>
  <c r="P17" i="4" s="1"/>
  <c r="G17" i="4"/>
  <c r="J16" i="4"/>
  <c r="K16" i="4" s="1"/>
  <c r="G16" i="4"/>
  <c r="J15" i="4"/>
  <c r="P15" i="4" s="1"/>
  <c r="G15" i="4"/>
  <c r="S14" i="4"/>
  <c r="P14" i="4"/>
  <c r="U14" i="4" s="1"/>
  <c r="L14" i="4"/>
  <c r="M14" i="4" s="1"/>
  <c r="J14" i="4"/>
  <c r="K14" i="4" s="1"/>
  <c r="G14" i="4"/>
  <c r="J13" i="4"/>
  <c r="P13" i="4" s="1"/>
  <c r="G13" i="4"/>
  <c r="P12" i="4"/>
  <c r="U12" i="4" s="1"/>
  <c r="J12" i="4"/>
  <c r="K12" i="4" s="1"/>
  <c r="S12" i="4" s="1"/>
  <c r="P11" i="4"/>
  <c r="U11" i="4" s="1"/>
  <c r="J11" i="4"/>
  <c r="K11" i="4" s="1"/>
  <c r="S11" i="4" s="1"/>
  <c r="G11" i="4"/>
  <c r="J10" i="4"/>
  <c r="P10" i="4" s="1"/>
  <c r="G10" i="4"/>
  <c r="J9" i="4"/>
  <c r="K9" i="4" s="1"/>
  <c r="S9" i="4" s="1"/>
  <c r="G9" i="4"/>
  <c r="J8" i="4"/>
  <c r="K8" i="4" s="1"/>
  <c r="G8" i="4"/>
  <c r="K7" i="4"/>
  <c r="J7" i="4"/>
  <c r="P7" i="4" s="1"/>
  <c r="U7" i="4" s="1"/>
  <c r="G7" i="4"/>
  <c r="G40" i="4" s="1"/>
  <c r="R6" i="4"/>
  <c r="R57" i="4" s="1"/>
  <c r="K5" i="4"/>
  <c r="S5" i="4" s="1"/>
  <c r="J5" i="4"/>
  <c r="P5" i="4" s="1"/>
  <c r="P6" i="4" s="1"/>
  <c r="S4" i="4"/>
  <c r="Q4" i="4"/>
  <c r="G4" i="4"/>
  <c r="L4" i="4" s="1"/>
  <c r="S6" i="4" l="1"/>
  <c r="L16" i="4"/>
  <c r="M16" i="4" s="1"/>
  <c r="K22" i="4"/>
  <c r="Q22" i="4" s="1"/>
  <c r="K31" i="4"/>
  <c r="Q31" i="4" s="1"/>
  <c r="K33" i="4"/>
  <c r="P42" i="4"/>
  <c r="I32" i="5"/>
  <c r="J32" i="5" s="1"/>
  <c r="J31" i="5" s="1"/>
  <c r="J40" i="5" s="1"/>
  <c r="I36" i="5"/>
  <c r="U13" i="4"/>
  <c r="U21" i="4"/>
  <c r="L9" i="4"/>
  <c r="M9" i="4" s="1"/>
  <c r="K10" i="4"/>
  <c r="Q10" i="4" s="1"/>
  <c r="K13" i="4"/>
  <c r="K15" i="4"/>
  <c r="Q15" i="4" s="1"/>
  <c r="U17" i="4"/>
  <c r="Q19" i="4"/>
  <c r="K21" i="4"/>
  <c r="K24" i="4"/>
  <c r="U24" i="4" s="1"/>
  <c r="K26" i="4"/>
  <c r="Q26" i="4" s="1"/>
  <c r="U29" i="4"/>
  <c r="K41" i="4"/>
  <c r="S41" i="4" s="1"/>
  <c r="S58" i="4"/>
  <c r="S60" i="4" s="1"/>
  <c r="U31" i="4"/>
  <c r="Q33" i="4"/>
  <c r="S56" i="4"/>
  <c r="J10" i="5"/>
  <c r="J6" i="5" s="1"/>
  <c r="J28" i="5" s="1"/>
  <c r="I6" i="5"/>
  <c r="I28" i="5" s="1"/>
  <c r="I41" i="5" s="1"/>
  <c r="I31" i="5"/>
  <c r="I40" i="5" s="1"/>
  <c r="S8" i="4"/>
  <c r="L8" i="4"/>
  <c r="M8" i="4" s="1"/>
  <c r="M4" i="4"/>
  <c r="G6" i="4"/>
  <c r="S13" i="4"/>
  <c r="L13" i="4"/>
  <c r="M13" i="4" s="1"/>
  <c r="U19" i="4"/>
  <c r="S21" i="4"/>
  <c r="L21" i="4"/>
  <c r="M21" i="4" s="1"/>
  <c r="U22" i="4"/>
  <c r="S24" i="4"/>
  <c r="L24" i="4"/>
  <c r="M24" i="4" s="1"/>
  <c r="U33" i="4"/>
  <c r="S38" i="4"/>
  <c r="L38" i="4"/>
  <c r="M38" i="4" s="1"/>
  <c r="Q45" i="4"/>
  <c r="L45" i="4"/>
  <c r="M45" i="4" s="1"/>
  <c r="L56" i="4"/>
  <c r="M56" i="4" s="1"/>
  <c r="K6" i="4"/>
  <c r="P9" i="4"/>
  <c r="U9" i="4" s="1"/>
  <c r="S10" i="4"/>
  <c r="L10" i="4"/>
  <c r="M10" i="4" s="1"/>
  <c r="Q14" i="4"/>
  <c r="P18" i="4"/>
  <c r="U18" i="4" s="1"/>
  <c r="S19" i="4"/>
  <c r="L19" i="4"/>
  <c r="S22" i="4"/>
  <c r="L22" i="4"/>
  <c r="M22" i="4" s="1"/>
  <c r="Q25" i="4"/>
  <c r="L27" i="4"/>
  <c r="M27" i="4" s="1"/>
  <c r="L30" i="4"/>
  <c r="M30" i="4" s="1"/>
  <c r="P32" i="4"/>
  <c r="U32" i="4" s="1"/>
  <c r="S33" i="4"/>
  <c r="L33" i="4"/>
  <c r="M33" i="4" s="1"/>
  <c r="P38" i="4"/>
  <c r="U38" i="4" s="1"/>
  <c r="S44" i="4"/>
  <c r="L44" i="4"/>
  <c r="M44" i="4" s="1"/>
  <c r="Q44" i="4"/>
  <c r="S45" i="4"/>
  <c r="G56" i="4"/>
  <c r="P60" i="4"/>
  <c r="U10" i="4"/>
  <c r="Q5" i="4"/>
  <c r="Q6" i="4" s="1"/>
  <c r="Q11" i="4"/>
  <c r="Q13" i="4"/>
  <c r="P16" i="4"/>
  <c r="U16" i="4" s="1"/>
  <c r="P27" i="4"/>
  <c r="U27" i="4" s="1"/>
  <c r="P30" i="4"/>
  <c r="U30" i="4" s="1"/>
  <c r="S31" i="4"/>
  <c r="L31" i="4"/>
  <c r="M31" i="4" s="1"/>
  <c r="Q34" i="4"/>
  <c r="Q35" i="4"/>
  <c r="Q36" i="4"/>
  <c r="S37" i="4"/>
  <c r="L37" i="4"/>
  <c r="M37" i="4" s="1"/>
  <c r="S39" i="4"/>
  <c r="L39" i="4"/>
  <c r="M39" i="4" s="1"/>
  <c r="S43" i="4"/>
  <c r="L43" i="4"/>
  <c r="M43" i="4" s="1"/>
  <c r="K40" i="4"/>
  <c r="Q7" i="4"/>
  <c r="P8" i="4"/>
  <c r="U8" i="4" s="1"/>
  <c r="Q12" i="4"/>
  <c r="S17" i="4"/>
  <c r="L17" i="4"/>
  <c r="M17" i="4" s="1"/>
  <c r="Q20" i="4"/>
  <c r="Q21" i="4"/>
  <c r="Q23" i="4"/>
  <c r="Q24" i="4"/>
  <c r="Q28" i="4"/>
  <c r="U28" i="4"/>
  <c r="L28" i="4"/>
  <c r="M28" i="4" s="1"/>
  <c r="L5" i="4"/>
  <c r="M5" i="4" s="1"/>
  <c r="L7" i="4"/>
  <c r="S7" i="4"/>
  <c r="Q9" i="4"/>
  <c r="L11" i="4"/>
  <c r="M11" i="4" s="1"/>
  <c r="L12" i="4"/>
  <c r="M12" i="4" s="1"/>
  <c r="S15" i="4"/>
  <c r="L15" i="4"/>
  <c r="M15" i="4" s="1"/>
  <c r="S16" i="4"/>
  <c r="Q18" i="4"/>
  <c r="L20" i="4"/>
  <c r="M20" i="4" s="1"/>
  <c r="L23" i="4"/>
  <c r="M23" i="4" s="1"/>
  <c r="S26" i="4"/>
  <c r="L26" i="4"/>
  <c r="M26" i="4" s="1"/>
  <c r="S27" i="4"/>
  <c r="S29" i="4"/>
  <c r="L29" i="4"/>
  <c r="M29" i="4" s="1"/>
  <c r="S30" i="4"/>
  <c r="Q32" i="4"/>
  <c r="L34" i="4"/>
  <c r="M34" i="4" s="1"/>
  <c r="L35" i="4"/>
  <c r="M35" i="4" s="1"/>
  <c r="L36" i="4"/>
  <c r="M36" i="4" s="1"/>
  <c r="P37" i="4"/>
  <c r="U37" i="4" s="1"/>
  <c r="P39" i="4"/>
  <c r="U39" i="4" s="1"/>
  <c r="S42" i="4"/>
  <c r="S46" i="4" s="1"/>
  <c r="L42" i="4"/>
  <c r="M42" i="4" s="1"/>
  <c r="Q42" i="4"/>
  <c r="P43" i="4"/>
  <c r="P46" i="4" s="1"/>
  <c r="Q56" i="4"/>
  <c r="Q41" i="4"/>
  <c r="K46" i="4"/>
  <c r="P56" i="4"/>
  <c r="L41" i="4"/>
  <c r="Q43" i="4" l="1"/>
  <c r="Q46" i="4" s="1"/>
  <c r="U15" i="4"/>
  <c r="Q27" i="4"/>
  <c r="U26" i="4"/>
  <c r="Q37" i="4"/>
  <c r="P40" i="4"/>
  <c r="P57" i="4" s="1"/>
  <c r="P63" i="4" s="1"/>
  <c r="Q39" i="4"/>
  <c r="G57" i="4"/>
  <c r="Q8" i="4"/>
  <c r="Q16" i="4"/>
  <c r="Q40" i="4" s="1"/>
  <c r="Q57" i="4" s="1"/>
  <c r="K57" i="4"/>
  <c r="L46" i="4"/>
  <c r="M46" i="4" s="1"/>
  <c r="M41" i="4"/>
  <c r="S40" i="4"/>
  <c r="S57" i="4" s="1"/>
  <c r="L40" i="4"/>
  <c r="M40" i="4" s="1"/>
  <c r="M7" i="4"/>
  <c r="Q38" i="4"/>
  <c r="Q30" i="4"/>
  <c r="L6" i="4"/>
  <c r="M6" i="4" l="1"/>
  <c r="L57" i="4"/>
  <c r="M57" i="4" s="1"/>
  <c r="D30" i="3" l="1"/>
  <c r="Q29" i="3"/>
  <c r="F28" i="3"/>
  <c r="E28" i="3"/>
  <c r="Q27" i="3"/>
  <c r="F27" i="3"/>
  <c r="E27" i="3"/>
  <c r="G27" i="3" s="1"/>
  <c r="Q26" i="3"/>
  <c r="M26" i="3"/>
  <c r="F26" i="3"/>
  <c r="E26" i="3"/>
  <c r="G26" i="3" s="1"/>
  <c r="F25" i="3"/>
  <c r="E25" i="3"/>
  <c r="G25" i="3" s="1"/>
  <c r="Q24" i="3"/>
  <c r="I24" i="3"/>
  <c r="G24" i="3"/>
  <c r="E24" i="3"/>
  <c r="Q23" i="3"/>
  <c r="F23" i="3"/>
  <c r="E23" i="3"/>
  <c r="Q22" i="3"/>
  <c r="F21" i="3"/>
  <c r="E21" i="3"/>
  <c r="G21" i="3" s="1"/>
  <c r="Q20" i="3"/>
  <c r="F20" i="3"/>
  <c r="E20" i="3"/>
  <c r="F18" i="3"/>
  <c r="E18" i="3"/>
  <c r="Q17" i="3"/>
  <c r="F16" i="3"/>
  <c r="E16" i="3"/>
  <c r="G16" i="3" s="1"/>
  <c r="Q15" i="3"/>
  <c r="I15" i="3"/>
  <c r="F15" i="3"/>
  <c r="E15" i="3"/>
  <c r="G15" i="3" s="1"/>
  <c r="H14" i="3"/>
  <c r="F14" i="3"/>
  <c r="E14" i="3"/>
  <c r="F13" i="3"/>
  <c r="E13" i="3"/>
  <c r="Q12" i="3"/>
  <c r="F12" i="3"/>
  <c r="E12" i="3"/>
  <c r="G12" i="3" s="1"/>
  <c r="Q11" i="3"/>
  <c r="F10" i="3"/>
  <c r="E10" i="3"/>
  <c r="F9" i="3"/>
  <c r="E9" i="3"/>
  <c r="Q8" i="3"/>
  <c r="F7" i="3"/>
  <c r="E7" i="3"/>
  <c r="G7" i="3" s="1"/>
  <c r="Q6" i="3"/>
  <c r="K6" i="3"/>
  <c r="F5" i="3"/>
  <c r="E5" i="3"/>
  <c r="G5" i="3" s="1"/>
  <c r="F3" i="3"/>
  <c r="E3" i="3"/>
  <c r="G10" i="3" l="1"/>
  <c r="G14" i="3"/>
  <c r="G20" i="3"/>
  <c r="E30" i="3"/>
  <c r="M30" i="3"/>
  <c r="G9" i="3"/>
  <c r="Q30" i="3"/>
  <c r="G13" i="3"/>
  <c r="G18" i="3"/>
  <c r="G23" i="3"/>
  <c r="G28" i="3"/>
  <c r="G3" i="3"/>
  <c r="G30" i="3" s="1"/>
  <c r="G32" i="3" s="1"/>
  <c r="P18" i="2" l="1"/>
  <c r="H18" i="2"/>
  <c r="H13" i="2" s="1"/>
  <c r="I13" i="2"/>
  <c r="G13" i="2"/>
  <c r="I12" i="2"/>
  <c r="H12" i="2"/>
  <c r="I11" i="2"/>
  <c r="H11" i="2"/>
  <c r="I10" i="2"/>
  <c r="H10" i="2"/>
  <c r="I8" i="2"/>
  <c r="H8" i="2"/>
  <c r="I7" i="2"/>
  <c r="H7" i="2"/>
  <c r="I6" i="2"/>
  <c r="I5" i="2" s="1"/>
  <c r="H6" i="2"/>
  <c r="H5" i="2" s="1"/>
  <c r="G6" i="2"/>
  <c r="G5" i="2" s="1"/>
  <c r="P210" i="1" l="1"/>
  <c r="P209" i="1"/>
  <c r="P161" i="1"/>
  <c r="P202" i="1" l="1"/>
  <c r="P201" i="1"/>
  <c r="P200" i="1" l="1"/>
  <c r="P203" i="1"/>
  <c r="P204" i="1"/>
  <c r="P199" i="1" l="1"/>
  <c r="P198" i="1"/>
  <c r="P197" i="1" l="1"/>
  <c r="P196" i="1"/>
  <c r="P195" i="1"/>
  <c r="P190" i="1" l="1"/>
  <c r="P191" i="1"/>
  <c r="P192" i="1"/>
  <c r="P193" i="1"/>
  <c r="P189" i="1"/>
  <c r="P188" i="1"/>
  <c r="P187" i="1"/>
  <c r="P186" i="1"/>
  <c r="P185" i="1"/>
  <c r="P184" i="1"/>
  <c r="P183" i="1"/>
  <c r="P182" i="1"/>
  <c r="P181" i="1"/>
  <c r="P179" i="1"/>
  <c r="P180" i="1"/>
  <c r="P194" i="1"/>
  <c r="P33" i="1" l="1"/>
  <c r="P41" i="1" l="1"/>
  <c r="P39" i="1"/>
  <c r="P35" i="1"/>
  <c r="P32" i="1"/>
  <c r="P30" i="1"/>
  <c r="P25" i="1"/>
  <c r="P22" i="1"/>
  <c r="P20" i="1"/>
  <c r="P18" i="1"/>
  <c r="P89" i="1" l="1"/>
  <c r="P142" i="1" l="1"/>
  <c r="P74" i="1" l="1"/>
  <c r="P75" i="1"/>
  <c r="P88" i="1"/>
  <c r="P157" i="1"/>
  <c r="P156" i="1"/>
  <c r="P85" i="1"/>
  <c r="P115" i="1"/>
  <c r="P87" i="1"/>
  <c r="P86" i="1"/>
  <c r="P132" i="1"/>
  <c r="P131" i="1"/>
  <c r="P148" i="1"/>
  <c r="P147" i="1"/>
  <c r="P146" i="1"/>
  <c r="P81" i="1"/>
  <c r="P80" i="1"/>
  <c r="P78" i="1"/>
  <c r="P77" i="1" l="1"/>
  <c r="P76" i="1"/>
  <c r="P73" i="1" l="1"/>
  <c r="P72" i="1"/>
  <c r="P71" i="1"/>
  <c r="P70" i="1"/>
  <c r="P69" i="1"/>
  <c r="P175" i="1" l="1"/>
  <c r="P143" i="1" l="1"/>
  <c r="P27" i="1" l="1"/>
  <c r="P26" i="1"/>
  <c r="P23" i="1"/>
  <c r="P110" i="1" l="1"/>
  <c r="P113" i="1" l="1"/>
  <c r="P112" i="1"/>
  <c r="P120" i="1" l="1"/>
  <c r="P47" i="1" l="1"/>
  <c r="P46" i="1"/>
  <c r="P45" i="1"/>
  <c r="P134" i="1" l="1"/>
  <c r="P178" i="1" l="1"/>
  <c r="P177" i="1"/>
  <c r="P176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0" i="1"/>
  <c r="P159" i="1"/>
  <c r="P158" i="1"/>
  <c r="P155" i="1" l="1"/>
  <c r="P154" i="1"/>
  <c r="P153" i="1"/>
  <c r="P152" i="1"/>
  <c r="P151" i="1"/>
  <c r="P150" i="1"/>
  <c r="P149" i="1"/>
  <c r="P144" i="1"/>
  <c r="P145" i="1"/>
  <c r="P141" i="1"/>
  <c r="P140" i="1"/>
  <c r="P139" i="1"/>
  <c r="P138" i="1"/>
  <c r="P137" i="1"/>
  <c r="P136" i="1" l="1"/>
  <c r="P135" i="1"/>
  <c r="P133" i="1"/>
  <c r="P130" i="1"/>
  <c r="P129" i="1"/>
  <c r="P128" i="1"/>
  <c r="P127" i="1"/>
  <c r="P126" i="1"/>
  <c r="P125" i="1"/>
  <c r="P124" i="1"/>
  <c r="P123" i="1"/>
  <c r="P122" i="1"/>
  <c r="P121" i="1"/>
  <c r="P119" i="1"/>
  <c r="P118" i="1"/>
  <c r="P105" i="1"/>
  <c r="P104" i="1"/>
  <c r="P106" i="1"/>
  <c r="P107" i="1"/>
  <c r="P108" i="1"/>
  <c r="P109" i="1"/>
  <c r="P111" i="1"/>
  <c r="P114" i="1"/>
  <c r="P116" i="1"/>
  <c r="P117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4" i="1" l="1"/>
  <c r="P83" i="1"/>
  <c r="P82" i="1"/>
  <c r="P68" i="1" l="1"/>
  <c r="P67" i="1" l="1"/>
  <c r="P63" i="1"/>
  <c r="P62" i="1"/>
  <c r="P64" i="1"/>
  <c r="P65" i="1"/>
  <c r="P66" i="1"/>
  <c r="P61" i="1"/>
  <c r="P60" i="1" l="1"/>
  <c r="P59" i="1"/>
  <c r="P58" i="1"/>
  <c r="P57" i="1"/>
  <c r="P56" i="1"/>
  <c r="P55" i="1"/>
  <c r="P54" i="1"/>
  <c r="P53" i="1"/>
  <c r="P52" i="1"/>
  <c r="P51" i="1"/>
  <c r="P50" i="1"/>
  <c r="P49" i="1"/>
  <c r="P48" i="1" l="1"/>
  <c r="P44" i="1" l="1"/>
  <c r="P43" i="1" l="1"/>
  <c r="P42" i="1"/>
  <c r="P40" i="1" l="1"/>
  <c r="P38" i="1"/>
  <c r="P37" i="1"/>
  <c r="P36" i="1"/>
  <c r="P34" i="1"/>
  <c r="P31" i="1"/>
  <c r="P29" i="1"/>
  <c r="P28" i="1"/>
  <c r="P24" i="1"/>
  <c r="P21" i="1"/>
  <c r="P19" i="1"/>
  <c r="P17" i="1"/>
  <c r="P16" i="1"/>
  <c r="P15" i="1" l="1"/>
  <c r="P14" i="1" l="1"/>
  <c r="P212" i="1" l="1"/>
</calcChain>
</file>

<file path=xl/comments1.xml><?xml version="1.0" encoding="utf-8"?>
<comments xmlns="http://schemas.openxmlformats.org/spreadsheetml/2006/main">
  <authors>
    <author>Саматов Азамат Бахытжанович</author>
  </authors>
  <commentLis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Саматов Азамат Бахытжанович:</t>
        </r>
        <r>
          <rPr>
            <sz val="9"/>
            <color indexed="81"/>
            <rFont val="Tahoma"/>
            <family val="2"/>
            <charset val="204"/>
          </rPr>
          <t xml:space="preserve">
Земельный налог
</t>
        </r>
      </text>
    </comment>
  </commentList>
</comments>
</file>

<file path=xl/comments2.xml><?xml version="1.0" encoding="utf-8"?>
<comments xmlns="http://schemas.openxmlformats.org/spreadsheetml/2006/main">
  <authors>
    <author>Саматов Азамат Бахытжанович</author>
  </authors>
  <commentList>
    <comment ref="Q6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Саматов Азамат Бахытжанович:</t>
        </r>
        <r>
          <rPr>
            <sz val="9"/>
            <color indexed="81"/>
            <rFont val="Tahoma"/>
            <family val="2"/>
            <charset val="204"/>
          </rPr>
          <t xml:space="preserve">
август в сентябре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Саматов Азамат Бахытжанович:</t>
        </r>
        <r>
          <rPr>
            <sz val="9"/>
            <color indexed="81"/>
            <rFont val="Tahoma"/>
            <family val="2"/>
            <charset val="204"/>
          </rPr>
          <t xml:space="preserve">
по июль августа нет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Саматов Азамат Бахытжанович:</t>
        </r>
        <r>
          <rPr>
            <sz val="9"/>
            <color indexed="81"/>
            <rFont val="Tahoma"/>
            <family val="2"/>
            <charset val="204"/>
          </rPr>
          <t xml:space="preserve">
в сентябре август выставили</t>
        </r>
      </text>
    </comment>
  </commentList>
</comments>
</file>

<file path=xl/sharedStrings.xml><?xml version="1.0" encoding="utf-8"?>
<sst xmlns="http://schemas.openxmlformats.org/spreadsheetml/2006/main" count="4394" uniqueCount="1515">
  <si>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</si>
  <si>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</si>
  <si>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</si>
  <si>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</si>
  <si>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</si>
  <si>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090340007747</t>
  </si>
  <si>
    <t xml:space="preserve">"СК-Фармация" Жауыпкершілігі Шектеулі Серіктестігі </t>
  </si>
  <si>
    <t>Товарищество с ограниченной отвественностью "СК-Фармация"</t>
  </si>
  <si>
    <t>План государственных закупок</t>
  </si>
  <si>
    <t>№</t>
  </si>
  <si>
    <t>Тип пункта плана</t>
  </si>
  <si>
    <t>Вид предмета закупок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</si>
  <si>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</si>
  <si>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</si>
  <si>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   закупок</t>
  </si>
  <si>
    <t xml:space="preserve">Количество, объём </t>
  </si>
  <si>
    <t>Цена за единицу, тенге</t>
  </si>
  <si>
    <t>Общая сумма, утвержденная  для закупки, тенге</t>
  </si>
  <si>
    <t>Планируемый срок осуществления государственных закупок(месяц)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</si>
  <si>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</si>
  <si>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</si>
  <si>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Закупки, не превышающие финансовый год</t>
  </si>
  <si>
    <t>711210000</t>
  </si>
  <si>
    <t>Услуга</t>
  </si>
  <si>
    <t>Одна услуга</t>
  </si>
  <si>
    <t>01 Январь</t>
  </si>
  <si>
    <t>23 Из одного источника путем прямого заключения договора</t>
  </si>
  <si>
    <t>Код товара, работы, услуги (в соответствии с СТРУ)</t>
  </si>
  <si>
    <t>Наименование закупаемых товаров, работ, услуг на государственном языке (в соответствии с СТРУ)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</si>
  <si>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</si>
  <si>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государственном языке (в соответствии с КПВЭД)</t>
  </si>
  <si>
    <t>Краткая характеристика (описание) товаров, работ и услуг на русском языке (в соответствии с СТРУ)</t>
  </si>
  <si>
    <t>Единица измерения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</si>
  <si>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</si>
  <si>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</si>
  <si>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Признак закупки</t>
  </si>
  <si>
    <t xml:space="preserve">Товар </t>
  </si>
  <si>
    <t>В течении 30 (тридцати) календарных дней с момента заключения договора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</si>
  <si>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</si>
  <si>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</si>
  <si>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Атырауская область, г. Атырау</t>
  </si>
  <si>
    <t>Западно Казахстанская область, г.Уральск</t>
  </si>
  <si>
    <t>Карагандинская область, г.Караганда</t>
  </si>
  <si>
    <t>Костанайская область, г. Костанай</t>
  </si>
  <si>
    <t>Атырау облысы, Атырау қаласы</t>
  </si>
  <si>
    <t>Батыс Қазақстан облысы, Орал</t>
  </si>
  <si>
    <t>Қарағанды облысы, Қарағанды қаласы</t>
  </si>
  <si>
    <t>Қостанай облысы, Қостанай қаласы</t>
  </si>
  <si>
    <t xml:space="preserve">Келісім-шартқа қол қойылған күннен  бастап 30 (отыз) күнтізбелік күн ішінде </t>
  </si>
  <si>
    <t>Итого:</t>
  </si>
  <si>
    <t>Мангыстауская область, г.Актау</t>
  </si>
  <si>
    <t>Акмолинская область, г.Кокшетау</t>
  </si>
  <si>
    <t>Кызылординская область, г.Кызылорда</t>
  </si>
  <si>
    <t>Жамбылская область г.Тараз</t>
  </si>
  <si>
    <t>Северо Казахстанская область, г.Петропавловск</t>
  </si>
  <si>
    <t>Маңғыстау облысы, Ақтау қ.</t>
  </si>
  <si>
    <t>Солтүстік Қазақстан облысы, Петропавл қ.</t>
  </si>
  <si>
    <t>Жамбыл облысы Тараз қ.</t>
  </si>
  <si>
    <t>Қызылорда облысы Қызылорда қ.</t>
  </si>
  <si>
    <t>Ақмола облысы Көкшетау қ.</t>
  </si>
  <si>
    <t>Услуги по оплате за коммунальные расходы при аренде недвижимости</t>
  </si>
  <si>
    <t>Работа</t>
  </si>
  <si>
    <t>Жылжымайтын мүлікті жалдау кезінде коммуналдық шығындарды төлеуге арналған қызметтер</t>
  </si>
  <si>
    <t>Услуги телефонной связи</t>
  </si>
  <si>
    <t>Актюбинская область, г.Актобе</t>
  </si>
  <si>
    <t>Ақтобе облысы, Ақтөбе қ.</t>
  </si>
  <si>
    <t>штук</t>
  </si>
  <si>
    <t>Основание</t>
  </si>
  <si>
    <t>682012.960.000000</t>
  </si>
  <si>
    <t>611011.200.000000</t>
  </si>
  <si>
    <t>612042.100.000000</t>
  </si>
  <si>
    <t>619010.451.000000</t>
  </si>
  <si>
    <t> 951110.000.000001</t>
  </si>
  <si>
    <t>582950.000.000000</t>
  </si>
  <si>
    <t>Услуги справочных служб (услуги по организации и функционированию контакт-центра)</t>
  </si>
  <si>
    <t>822010.000.000000</t>
  </si>
  <si>
    <t>773914.000.000000</t>
  </si>
  <si>
    <t>620230.000.000003</t>
  </si>
  <si>
    <t>Туркестанская область,г. Туркестан</t>
  </si>
  <si>
    <t>Түркістан облысы, Түркістан қ.</t>
  </si>
  <si>
    <t>682011.900.000001</t>
  </si>
  <si>
    <t>Оплата расходов за пользование коммунальными услугами при аренде недвижимости, не включённая в арендную плату недвижимости</t>
  </si>
  <si>
    <t> Жылжымайтын мүлікті жалға алу барысында, жылжымайтын мүлік төлемін есептемегенде, коммуналдық төлемдерді өтеу</t>
  </si>
  <si>
    <t>749020.000.000060</t>
  </si>
  <si>
    <t>522319.000.000001</t>
  </si>
  <si>
    <t>639910.000.000001</t>
  </si>
  <si>
    <t>749020.000.000088</t>
  </si>
  <si>
    <t>53 пп.53 п.3 ст.39</t>
  </si>
  <si>
    <t>620920.000.000016</t>
  </si>
  <si>
    <t>Шымкент қ.</t>
  </si>
  <si>
    <t>г. Шымкент</t>
  </si>
  <si>
    <t>1 Закупки, не превышающие финансовый год</t>
  </si>
  <si>
    <t>работа</t>
  </si>
  <si>
    <t>620920.000.000001</t>
  </si>
  <si>
    <t>03 Март</t>
  </si>
  <si>
    <t>В течении 30 (тридцать) календарных дней с момента заключения договора</t>
  </si>
  <si>
    <t>823011.000.000000</t>
  </si>
  <si>
    <t>05 Май</t>
  </si>
  <si>
    <t>Штука</t>
  </si>
  <si>
    <t>упаковка</t>
  </si>
  <si>
    <t>Товар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</si>
  <si>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</si>
  <si>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</si>
  <si>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02 Февраль</t>
  </si>
  <si>
    <t>Коммутатор неуправляемый 8 портовый</t>
  </si>
  <si>
    <t>8-портты басқарылмайтын ажыратқыш</t>
  </si>
  <si>
    <t>Полиграфиялық өнімдерді (кітаптар, фото, мерзімді басылымдардан басқа) дайындау/басып шығару жөніндегі полиграфиялық қызметтер)</t>
  </si>
  <si>
    <t>Телефон байланысы қызметтері</t>
  </si>
  <si>
    <t>Услуги по доступу к Интернету</t>
  </si>
  <si>
    <t>Интернетке қол жеткізу бойынша қызметтер</t>
  </si>
  <si>
    <t>Услуги по аренде каналов связи (VPN)</t>
  </si>
  <si>
    <t>Байланыс арналарын жалға беру қызметтері (VPN)</t>
  </si>
  <si>
    <t>Услуги по аренде телекоммуникационного оборудования (collocation)</t>
  </si>
  <si>
    <t>Телекоммуникациялық жабдықтарды жалға беру қызметтері (collocation)</t>
  </si>
  <si>
    <t>Услуги по технической и информационной поддержке сайтов (сопровождение веб-сайта)</t>
  </si>
  <si>
    <t>Сайттарды техникалық және ақпараттық қолдау бойынша қызметтер (веб-сайтты сүйемелдеу)</t>
  </si>
  <si>
    <t>Услуги по продлению лицензий на право использования программного обеспечения (ПО KAV)(на 1 год)</t>
  </si>
  <si>
    <t>Работы по ремонту/модернизации компьютерной/периферийной оргтехники/оборудования (профилактическое обслуживание и ремонт оргтехники)</t>
  </si>
  <si>
    <t>Компьютерлік/перифериялық ұйымдастыру техникасын/жабдықтарын жөндеу/жаңғырту жұмыстары (ұйымдастыру техникасына профилактикалық қызмет көрсету және жөндеу)</t>
  </si>
  <si>
    <t>Анықтама қызметтерінің қызметтері (байланыс орталығын ұйымдастыру және оның жұмыс істеуі жөніндегі қызметтер)</t>
  </si>
  <si>
    <t>Услуга по продлению лицензии на право использования программного обеспечения для среды разработки Java (IntelliJ IDEA)(на 1 год)</t>
  </si>
  <si>
    <t>Java (IntelliJ IDEA) әзірлеу ортасы үшін бағдарламалық қамтамасыз етуді пайдалану құқығына лицензияны ұзарту бойынша қызмет(1 жылға))</t>
  </si>
  <si>
    <t>Услуга по продлению лицензии на право использования программного обеспечения для онлайн оператора службы поддержки (Jivosite)(на 1 год)</t>
  </si>
  <si>
    <t>Қолдау қызметінің (Jivosite) онлайн операторы үшін бағдарламалық қамтылымды пайдалану құқығына лицензияны ұзарту бойынша қызмет(1 жылға))</t>
  </si>
  <si>
    <t>Услуга по продлению технической поддержки лицензионного программного обеспечения Oracle(на 1 год)</t>
  </si>
  <si>
    <t>Oracle лицензиялық бағдарламалық қамтамасыз етуді техникалық қолдауды ұзарту қызметі (1 жылға)</t>
  </si>
  <si>
    <t>Услуги по продлению лицензий на право использования программного обеспечения (ПО Arcsite)</t>
  </si>
  <si>
    <t>Услуги по продлению лицензий на право использования программного обеспечения (ПО Falcongaze)</t>
  </si>
  <si>
    <t>Бағдарламалық қамтамасыз етуді пайдалану құқығына лицензияларды ұзарту бойынша қызметтер (Arcsite БҚ)</t>
  </si>
  <si>
    <t>Бағдарламалық қамтамасыз етуді пайдалану құқығына лицензияларды ұзарту бойынша қызметтер (Falcongaze БҚ)</t>
  </si>
  <si>
    <t>Бағдарламалық қамтамасыз етуді пайдалану құқығына лицензияларды ұзарту жөніндегі қызметтер (KAV БҚ) (1 жылға)</t>
  </si>
  <si>
    <t xml:space="preserve">Услуги по таможенному оформлению </t>
  </si>
  <si>
    <t>Кедендік ресімдеу бойынша қызметтер</t>
  </si>
  <si>
    <t>Әуе көлігі саласында жүк қызметін көрсету жөніндегі қызметтер</t>
  </si>
  <si>
    <t>Изготовление инструкций по медицинскому применению ЛС</t>
  </si>
  <si>
    <t>ДЗ медициналық қолдану жөніндегі нұсқаулықтарды дайындау</t>
  </si>
  <si>
    <t>Изготовление стикеров для упаковок ЛС</t>
  </si>
  <si>
    <t>ДЗ қаптамаларына арналған стикерлер дайындау</t>
  </si>
  <si>
    <t>Әкімшілік/өндірістік жайларды жалдау бойынша қызметтер</t>
  </si>
  <si>
    <t>Услуги по аренде административных/производственных помещений</t>
  </si>
  <si>
    <t>Аренда архива</t>
  </si>
  <si>
    <t>Архивті жалға алу</t>
  </si>
  <si>
    <t>Әкімшілік / өндірістік үй-жайларды жалдау қызметтері</t>
  </si>
  <si>
    <t>Кеңсе ғимараттарын жалдау қызметтері</t>
  </si>
  <si>
    <t>Услуги по аренде офисных помещений</t>
  </si>
  <si>
    <t>Үй-жай "А Бизнес-класс" стандарттарынасәйкесболуытиіс. Жалғаберушікомпанияныңбасшылары мен қызметкерлерінекеңсежиһазыныңжинағынұсынуытиіс. Коммуналыққызметтергеақытөлеудіжалғаберушіөзіжүргізедіжәнеоныңқұны жалдау ақысына енгізілуі тиіс.</t>
  </si>
  <si>
    <t>Помещение должно соответствовать стандартам Бизнес-центра класса А. Арендодатель предоставляет комплекты офисной мебели для руководителей и сотрудников компании. Оплату за коммунальные услуги арендодатель производит самостоятельно и  стоимость  должна быть включена в размер арендной платы. Согласно технической спецификации Заказчика.</t>
  </si>
  <si>
    <t>Баспа өнімдерін өндіруге / басып шығаруға арналған полиграфиялық қызметтер (кітаптарды, фотосуреттерді, мерзімдік басылымдарды қоспағанда)</t>
  </si>
  <si>
    <t>Әрдайым Интернет желісінде орналасқан серверде ақпаратты физикалық орналастыруға арналған есептеу қуаттарын ұсыну бойынша қызмет көрсетулер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</si>
  <si>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</si>
  <si>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Үнемі Интернет желісіндегі серверде жеке ақпарат енгізу үшін есептеуіш қуатпен қамту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</si>
  <si>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</si>
  <si>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Корпоративті ақпараттық веб-ресурс үшін хостингті ұсыну қызметтері</t>
  </si>
  <si>
    <t>Услуги предоставления хостинговой площадки для корпоративного информационного веб-ресурса</t>
  </si>
  <si>
    <t xml:space="preserve">Телефон байланысы қызметі </t>
  </si>
  <si>
    <t>Жергілікті, қалааралық, халықаралық телефон байланысы қызметі</t>
  </si>
  <si>
    <t>Услуги фиксированной местной, междугородней, международной телефонной связи  - доступ и пользование</t>
  </si>
  <si>
    <t>Желілік жүйе бойынша кеңжолақты ғаламторды ұсынуға бағытталған  қызметтер</t>
  </si>
  <si>
    <t>Услуги, направленные на предоставление доступа к Интернету широкополосному по сетям проводным</t>
  </si>
  <si>
    <t>Байланыс арнасын жалға алу қызметі</t>
  </si>
  <si>
    <t>Услуги по аренде каналов связи</t>
  </si>
  <si>
    <t>Телекоммуникациялық жабдықтарды жалдау бойынша қызметтер, Телекоммуникациялық жабдықтарды жалға беру қызметтері .</t>
  </si>
  <si>
    <t>Услуги по аренде телекоммуникационного оборудования</t>
  </si>
  <si>
    <t>Телекоммуникациялық жабдықтарды жалдау бойынша қызметтер</t>
  </si>
  <si>
    <t>Веб-сайтты техникалық қолдау бойынша қызметтер</t>
  </si>
  <si>
    <t xml:space="preserve">Услуги по технической поддержки  веб-сайта  </t>
  </si>
  <si>
    <t>Компьютерлік / перифериялық оргтехникаларды / жабдықтарды жөндеу/жаңғырту бойынша жұмыстар</t>
  </si>
  <si>
    <t xml:space="preserve">Работы по ремонту/модернизации компьютерной/периферийной оргтехники/оборудования </t>
  </si>
  <si>
    <t>Компьютерлік / перифериялық оргтехникаларды / жабдықтарды және олардың бөліктерін жөндеу/жаңғырту бойынша жұмыстар</t>
  </si>
  <si>
    <t>Работы по ремонту/модернизации компьютерной/периферийной оргтехники/оборудования и их частей</t>
  </si>
  <si>
    <t>Бағдарламалық қымсыздандыруды пайдалану құқығына лицензияны создыру бойынша қызметтер</t>
  </si>
  <si>
    <t>Услуги по продлению лицензий на право использования программного обеспечения</t>
  </si>
  <si>
    <t> Анықтамалық қызметтің қызмет көрсетулері</t>
  </si>
  <si>
    <t>Услуги справочных служб</t>
  </si>
  <si>
    <t>Услуги по сопровождению и технической поддержке информационной системы</t>
  </si>
  <si>
    <t>620920.000.000008</t>
  </si>
  <si>
    <t>Домендік атау көрсету бойынша қызмет көрсетулер</t>
  </si>
  <si>
    <t>Услуги по предоставлению доменного имени</t>
  </si>
  <si>
    <t>Домендік атауды пайдалануға ұзартуға ұсынысы бойынша қызметтер</t>
  </si>
  <si>
    <t>Услуги по предоставлению и продлению пользования доменным именем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</si>
  <si>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</si>
  <si>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</si>
  <si>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брокерским операциям с товарами</t>
  </si>
  <si>
    <t>Өнімді/процесстерді/жұмысты/қызмет көрсетуді сертификаттау бойынша қызмет көрсетулер</t>
  </si>
  <si>
    <t>Услуги по сертификации продукции/процессов/работы/услуги</t>
  </si>
  <si>
    <t>Желілік коммутатор</t>
  </si>
  <si>
    <t>Коммутатор сетевой</t>
  </si>
  <si>
    <t>басқарылмайтын, симметриялық</t>
  </si>
  <si>
    <t>неуправляемый, симметричный</t>
  </si>
  <si>
    <t>Қолданбалы дайын бағдарламалық қамтамасыз етуді лицензиялау бойынша қызметтер</t>
  </si>
  <si>
    <t>Услуги по лицензированию готового программного обеспечения прикладного</t>
  </si>
  <si>
    <t>Авторлық құқық және мүліктік құқықтары жоқ, лицензиялар туралы-қайраңында бағдарлама қолданбасын алу бойынша қызметтер .</t>
  </si>
  <si>
    <t>Услуги по получению лицензий на готовое программное обеспечение прикладное, без получения авторских и имущественных прав</t>
  </si>
  <si>
    <t>781011.000.000003</t>
  </si>
  <si>
    <t>Персонал аутсорсингі бойынша қызметтер</t>
  </si>
  <si>
    <t>Услуги по аутсорсингу персонала</t>
  </si>
  <si>
    <t>Услуги по предоставлению доступа к электронной системе закупок лекарственных средств и изделий медицинского назначения</t>
  </si>
  <si>
    <t>Дәрілік заттар мен медициналық мақсаттағы бұйымдарды сатып алудың электрондық жүйесіне қол жеткізуді ұсыну жөніндегі қызметтер</t>
  </si>
  <si>
    <t>620230.000.000001</t>
  </si>
  <si>
    <t>Ақпараттық жүйені қостау және техникалық қолдау көрсету бойынша қызмет көрсетулер</t>
  </si>
  <si>
    <t>749020.000.000018</t>
  </si>
  <si>
    <t>Азаматтық-құқықтық жауапкершілікті сақтандыру бойынша қызметтер (автомобиль, әуе, су көлігі иелерінің азаматтық-құқықтық иелерін сақтандырудан басқа)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</si>
  <si>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</si>
  <si>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қызметкердің еңбек міндеттерін орындау барысында,  олардың өмірінежәнеденсаулығынакелтірілгензиянүшіназаматтық-құқықтықжауапкершілікті жұмысберушініңсақтандыруы</t>
  </si>
  <si>
    <t>Страхование гражданско-правовой ответственности работодателя за причинение вреда жизни и здоровью работника при исполнении им трудовых обязанностей. Согласно технической спецификации Заказчика.</t>
  </si>
  <si>
    <t>02 Открытый конкурс</t>
  </si>
  <si>
    <t>03 Запрос ценовых предложений посредством электронных закупок</t>
  </si>
  <si>
    <t xml:space="preserve">Келісім-шартқа қол қойылған күннен  бастап 15 (он бес) күнтізбелік күн ішінде </t>
  </si>
  <si>
    <t>В течении 15 (пятнадцати) календарных дней с момента заключения договора</t>
  </si>
  <si>
    <t xml:space="preserve">Услуга </t>
  </si>
  <si>
    <t>774019.000.000000</t>
  </si>
  <si>
    <t>Ақпараттық технологиялар саласындағы ресурстарды (бағдарламалық қамтылымнан, компьютерлік ойындардан басқа) пайдалану құқығына лицензиялар беру жөніндегі қызметтер)</t>
  </si>
  <si>
    <t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t>
  </si>
  <si>
    <t>Контрагенттерді тексеру үшін БҚ пайдалану құқығын беру бойынша қызмет</t>
  </si>
  <si>
    <t>Услуга по предоставлению прав на использование ПО для проверки контрагентов</t>
  </si>
  <si>
    <t>749020.000.000086</t>
  </si>
  <si>
    <t> Қаржылық тексеріс жүргізу бойынша қызмет көрсетулер</t>
  </si>
  <si>
    <t>Услуги по проведению ревизий финансовых</t>
  </si>
  <si>
    <t xml:space="preserve">Қаржылық ревизияларды өткізу бойынша қызметтер (аудит). Тапсырыс берушінің Техникалық ерекшелікке сәйкес </t>
  </si>
  <si>
    <t>Услуги по проведению ревизий финансовых (аудит). Согласно технической спецификации Заказчика.</t>
  </si>
  <si>
    <t>Продление договора</t>
  </si>
  <si>
    <t xml:space="preserve">Услуги по грузообслуживанию в области воздушного транспорта </t>
  </si>
  <si>
    <t>Услуги по грузообслуживанию в области воздушного транспорта</t>
  </si>
  <si>
    <t>келісім-шарт жасалған күннен бастап 30 (отыз) күнтізбелік күн ішінде</t>
  </si>
  <si>
    <t>В течении  30 (тридцать)  календарных дней с момента заключения договора</t>
  </si>
  <si>
    <t>____________________ Аханова С.А.</t>
  </si>
  <si>
    <t>__________________ Махаев А.Б.</t>
  </si>
  <si>
    <t>841112.900.000009</t>
  </si>
  <si>
    <t>Екінші деңгейдегі банктердің қызметі</t>
  </si>
  <si>
    <t>Услуги банков по ведению счетов</t>
  </si>
  <si>
    <t>Банктегі шоттарды жүргізу қызметтері</t>
  </si>
  <si>
    <t xml:space="preserve">Шоттарды жүргізу қызметтері </t>
  </si>
  <si>
    <t>Услуги ведения счетов</t>
  </si>
  <si>
    <t>Председатель Правления _____________________________ Искалиев Е.С.</t>
  </si>
  <si>
    <t>член Правления _____________________________________Қансұлтан Н.Ғ.</t>
  </si>
  <si>
    <t>Услуга по поставке Лицензия спам-фильтра (1 год)</t>
  </si>
  <si>
    <t xml:space="preserve">По заявке заказчика в течение 15 (пятнадцати) календарных дней </t>
  </si>
  <si>
    <t>Тапсырыс берушінің өтінімі бойынша 15 (он бес) күнтізбелік күн ішінде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</si>
  <si>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</si>
  <si>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</si>
  <si>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</si>
  <si>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Ақпараттық ресурстарға қол жеткізуді ұсыну бойынша қызметтер (пайдаланушыларды сертификаттау, қол жеткізу және т. б.)</t>
  </si>
  <si>
    <t>Ақпараттық ресурстарға қол жеткізуді ұсыну жөніндегі қызметтер</t>
  </si>
  <si>
    <t>Услуги по администрированию и техническому обслуживанию программного обеспечения</t>
  </si>
  <si>
    <t>Бағдарламалықі жасақты әкімшіліктендіру және оған техникалық қызмет көрсету бойынша қызметтер</t>
  </si>
  <si>
    <t>Бағдарламалық қамтамасыз етуді әкімшілдеу және техникалық қызмет көрсету бойынша қызметтер</t>
  </si>
  <si>
    <t>263023.900.000078</t>
  </si>
  <si>
    <t>Услуги фиксированной местной, междугородней, международной телефонной связи</t>
  </si>
  <si>
    <t>Белгіленген жергілікті, қалааралық, халықаралық телефон байланысы қызметтері</t>
  </si>
  <si>
    <t>Тауарлармен брокерлік операциялар бойынша қызметтер</t>
  </si>
  <si>
    <t>Әуе көлігі саласында жүкке қызмет көрсету бойынша қызметтер</t>
  </si>
  <si>
    <t>111010000</t>
  </si>
  <si>
    <t xml:space="preserve">
151010000</t>
  </si>
  <si>
    <t>191010000</t>
  </si>
  <si>
    <t>231010000</t>
  </si>
  <si>
    <t>311010000</t>
  </si>
  <si>
    <t>271010000</t>
  </si>
  <si>
    <t>391010000</t>
  </si>
  <si>
    <t>471010000</t>
  </si>
  <si>
    <t>591010000</t>
  </si>
  <si>
    <t>791110000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</si>
  <si>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</si>
  <si>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 </t>
  </si>
  <si>
    <t>195253200</t>
  </si>
  <si>
    <t>Алматы облысы, Қарасай ауданы, Абай ауылы</t>
  </si>
  <si>
    <t>Алматинская  область, Карасайский район, с. Абай</t>
  </si>
  <si>
    <t>172314.500.000002</t>
  </si>
  <si>
    <t xml:space="preserve">Қағаз А4 форматы, тығыздығы 80г/м, 21х29,5 см. Тапсырыс берушінің Техникалық ерекшелікке сәйкес </t>
  </si>
  <si>
    <t>бумага. Формат А4, плотность 80г/м2, 21х29,5 см. Согласно технической спецификации Заказчика.</t>
  </si>
  <si>
    <t>Одна пачка</t>
  </si>
  <si>
    <t>Бумага для офисного оборудования</t>
  </si>
  <si>
    <t>257111.910.000001</t>
  </si>
  <si>
    <t>Қайшы</t>
  </si>
  <si>
    <t>Ножницы</t>
  </si>
  <si>
    <t>кеңсе</t>
  </si>
  <si>
    <t xml:space="preserve">канцелярские </t>
  </si>
  <si>
    <t>329912.130.000000</t>
  </si>
  <si>
    <t>Кеңсе қалам</t>
  </si>
  <si>
    <t>Ручка канцелярская</t>
  </si>
  <si>
    <t>шарикті</t>
  </si>
  <si>
    <t>шариковая</t>
  </si>
  <si>
    <t>формат А4</t>
  </si>
  <si>
    <t>262021.900.000098</t>
  </si>
  <si>
    <t xml:space="preserve"> Флеш-накопитель</t>
  </si>
  <si>
    <t>интерфейс USB 3.0, емкость более 16 Гб, но не более 64 Гб</t>
  </si>
  <si>
    <t xml:space="preserve"> Флеш-накопитель 3.0</t>
  </si>
  <si>
    <t>Наушники</t>
  </si>
  <si>
    <t>Флеш-жинақтауыш</t>
  </si>
  <si>
    <t>USB 3.0 интерфейсі, сыйымдылығы 16 Гб артық, бірақ 64 Гб артық емес</t>
  </si>
  <si>
    <t>3.0 Флеш-жинақтауыш</t>
  </si>
  <si>
    <t>Кабельный канал напольный</t>
  </si>
  <si>
    <t>Кабель специализированный</t>
  </si>
  <si>
    <t>Метр</t>
  </si>
  <si>
    <t>329959.900.000068</t>
  </si>
  <si>
    <t>Сүзгіш</t>
  </si>
  <si>
    <t>Фильтр</t>
  </si>
  <si>
    <t>желілік</t>
  </si>
  <si>
    <t>сетевой</t>
  </si>
  <si>
    <t>532011.110.000000</t>
  </si>
  <si>
    <t>Поштаны курьерлік жеткізу бойынша қызметтер</t>
  </si>
  <si>
    <t>Услуги по курьерской доставке почты</t>
  </si>
  <si>
    <t>Курьерлік пошта байланысының қызметтері</t>
  </si>
  <si>
    <t>Услуги курьерской почтовой связи</t>
  </si>
  <si>
    <t>Жеделдетілген / курьерлік пошта байланысы бойынша қызметтер</t>
  </si>
  <si>
    <t>Услуги по ускоренной/курьерской почтовой связи</t>
  </si>
  <si>
    <t>493212.000.000000</t>
  </si>
  <si>
    <t>Жүргізушісімен жалға алынған автокөлікке айланысты қызметтер</t>
  </si>
  <si>
    <t>Услуги по аренде легковых автомобилей с водителем</t>
  </si>
  <si>
    <t>Көлік жалдау</t>
  </si>
  <si>
    <t>Аренда машины</t>
  </si>
  <si>
    <t>Жеңіл автомобильдерді жалға беру бойынша қызметтер</t>
  </si>
  <si>
    <t xml:space="preserve">Услуги по аренде легковых автомобилей </t>
  </si>
  <si>
    <t>743011.000.000000</t>
  </si>
  <si>
    <t>Аударма қызметтері</t>
  </si>
  <si>
    <t>Услуги переводческие</t>
  </si>
  <si>
    <t>Ағылшын тілінен орыс тіліне/орыс тілінен ағылшын тіліне жазбаша аударма</t>
  </si>
  <si>
    <t>Письменный перевод с английского языка на русский язык/с русского языка на английский язык</t>
  </si>
  <si>
    <t>06 Июнь</t>
  </si>
  <si>
    <t xml:space="preserve">«СК-Фармация» ЖШС логотипі бар алғыс. Толықтүсті баспа, дизайнерлік қағаз (тығыздығы 300 гр аз емес, нетунно сирио), фольгирлеу. </t>
  </si>
  <si>
    <t>Благодарность с логотипом ТОО «СК-Фармация». Полноцветная печать, бумага (плотность не менее 300 гр, нетунно сирио), фольгирование.</t>
  </si>
  <si>
    <t>«СК-Фармация» ЖШС логотипі бар мақтау қағазы. Толықтүсті баспа, дизайнерлік қағаз (тығыздығы 300 гр, нетунно сирио), фольгирлеу.</t>
  </si>
  <si>
    <t xml:space="preserve">Грамота с логотипом ТОО «СК-Фармация». Полноцветная печать, бумага (плотность 300 гр, нетунно сирио), фольгирование. </t>
  </si>
  <si>
    <t>Услуги по продлению лицензий на право использования программного обеспечения на 1 год (ПО межсетевых защитных экранов FortiGate-401E)(на 1 год)</t>
  </si>
  <si>
    <t>Бағдарламалық қамтамасыз етуді пайдалану құқығына лицензияларды 1 жылға ұзарту жөніндегі қызметтер (FortiGate-401E желіаралық қорғау экрандары бойынша)(1 жылға)</t>
  </si>
  <si>
    <t>582950.000.000001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</si>
  <si>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</si>
  <si>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</si>
  <si>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Лицензия спам сүзгісін жеткізу қызметі (1 жыл)</t>
  </si>
  <si>
    <t>273213.500.000002</t>
  </si>
  <si>
    <t>тип UTP</t>
  </si>
  <si>
    <t>UTP-5e кабелі</t>
  </si>
  <si>
    <t>Кабель UTP-5e</t>
  </si>
  <si>
    <t xml:space="preserve">Сопровождение программного обеспечения 1С Предприятие </t>
  </si>
  <si>
    <t xml:space="preserve">Бағдарламалық қамтамасыз етуді сүйемелдеу 1С Кәсіпорын </t>
  </si>
  <si>
    <t>620920.000.000014</t>
  </si>
  <si>
    <t>Бағдарламалық өнімді пайдалану қызметі</t>
  </si>
  <si>
    <t>Услуги по пользованию программными продуктами</t>
  </si>
  <si>
    <t>Алшақ қолжетімділіктегі бағдарламалық өнімдерді пайдалану қызметтері</t>
  </si>
  <si>
    <t>Услуги по пользованию программными продуктами, находящимся в удаленном доступе</t>
  </si>
  <si>
    <t>Электронды құжат айналым ақпараттық жүйесімен қамтамасыз ету қызметі</t>
  </si>
  <si>
    <t>Услуга по предоставлению сервиса информационной системы электронного документооборота</t>
  </si>
  <si>
    <t xml:space="preserve">Последовательный перевод </t>
  </si>
  <si>
    <t>Жүйелі аударма</t>
  </si>
  <si>
    <t>моноблок, әмбебап (міндеттердің кең ауқымын шешу), орташа өнімділік</t>
  </si>
  <si>
    <t>моноблок, универсальный (решающий широкий круг задач), Среднепроизводительный</t>
  </si>
  <si>
    <t xml:space="preserve">Келісім-шартқа қол қойылған күннен  бастап 60 (алпыс) күнтізбелік күн ішінде </t>
  </si>
  <si>
    <t>В течении 60 (шестьдесят) календарных дней с момента заключения договора</t>
  </si>
  <si>
    <t>262016.300.000016</t>
  </si>
  <si>
    <t>Принтер</t>
  </si>
  <si>
    <t>лазерный, монохромный</t>
  </si>
  <si>
    <t>Принтер лазерный, монохромный</t>
  </si>
  <si>
    <t>Устройство многофункциональное</t>
  </si>
  <si>
    <t>печать лазерная</t>
  </si>
  <si>
    <t>310111.730.000000</t>
  </si>
  <si>
    <t>Шкаф</t>
  </si>
  <si>
    <t>металлический, офисный</t>
  </si>
  <si>
    <t>лазерлік, монохромды</t>
  </si>
  <si>
    <t>Лазерлік Принтер, монохромды</t>
  </si>
  <si>
    <t>лазерлік басып шығару</t>
  </si>
  <si>
    <t>металл, кеңсе</t>
  </si>
  <si>
    <t>620129.000.000002</t>
  </si>
  <si>
    <t>Лицензия</t>
  </si>
  <si>
    <t>бағдарламалық өнімде (лицензия беру бойынша қызметтерді қоспағанда)</t>
  </si>
  <si>
    <t>на программный продукт (кроме услуг по предоставлению лицензии)</t>
  </si>
  <si>
    <t>Бағдарламалық қамтылымды пайдалану құқығына лицензиялар беру жөніндегі қызметтер</t>
  </si>
  <si>
    <t>841311.000.000001</t>
  </si>
  <si>
    <t>Персоналды/қызметкерлерді оқыту бойынша қызметтер</t>
  </si>
  <si>
    <t>Услуги по обучению персонала/сотрудников</t>
  </si>
  <si>
    <t>Оқыту (оқыту/тренингтер/даярлау/қайта даярлау/біліктілікті арттыру) бойынша қызметтер)</t>
  </si>
  <si>
    <t>Услуги по обучению (обучению/тренинги/подготовке/переподготовке/повышению квалификации)</t>
  </si>
  <si>
    <t>Қызметкерлерге арналған ағылшын тілі курстары</t>
  </si>
  <si>
    <t xml:space="preserve">Курсы английского языка для работников </t>
  </si>
  <si>
    <t>электр энергиясына төлем</t>
  </si>
  <si>
    <t>оплата за элетроэнергию</t>
  </si>
  <si>
    <t>431010000</t>
  </si>
  <si>
    <t>суық суға  төлем</t>
  </si>
  <si>
    <t xml:space="preserve">оплата за холодную воду </t>
  </si>
  <si>
    <t>жылыту қызметтері</t>
  </si>
  <si>
    <t>оплата за отопление</t>
  </si>
  <si>
    <t>04 Апрель</t>
  </si>
  <si>
    <t>Начальник управления административной и кадровой работы</t>
  </si>
  <si>
    <t>__________________ Ербатыр Е.Е.</t>
  </si>
  <si>
    <t>____________________ Кайбагарова А.Б.</t>
  </si>
  <si>
    <t>Начальник управления правого обеспечения                   ____________________ Уразбаева А.К.</t>
  </si>
  <si>
    <t>Главный бухгалтер-начальник управления бухгалтерского учета и отчетности</t>
  </si>
  <si>
    <t>Начальник управления экономики и финансового мониторинга __________________ Аскарова Э.Р.</t>
  </si>
  <si>
    <t>Начальник отдела управления персоналом</t>
  </si>
  <si>
    <t>Начальник службы безопасности</t>
  </si>
  <si>
    <t>_____________________ Альжанов Б.Т.</t>
  </si>
  <si>
    <t>Услуги по предоставлению лицензии Zoom</t>
  </si>
  <si>
    <t>Zoom лицензиясын ұсыну бойынша қызметтер</t>
  </si>
  <si>
    <t>Ақпараттық жүйені сүйемелдеу және техникалық қолдау жөніндегі қызметтер</t>
  </si>
  <si>
    <t>Подписка на Информационно-технологическое сопровождение системы «1С:Предприятие» (ИТС)</t>
  </si>
  <si>
    <t>"1С:Кәсіпорын" (ЗКЖ) жүйесін ақпараттық-технологиялық сүйемелдеуге жазылу</t>
  </si>
  <si>
    <t>Бланки приказов с логотипом ТОО «СК-Фармация». Бумага - колотек+ 90 г/м, красочность 5+0 c нумерацией. Офсетная печать, PANTONE.  Количество - 3000шт.</t>
  </si>
  <si>
    <t>"СК-Фармация"ЖШС логотипі бар бұйрық бланкілері. Колотек+ қағазы 90 г/м, Түсі 5 + 0 C нөмірленеді. Офсеттік басып шығару, PANTONE. Саны-3000 дана.</t>
  </si>
  <si>
    <t>пп.1 п.3 ст.39</t>
  </si>
  <si>
    <t>Актюбинская область, г. Актобе</t>
  </si>
  <si>
    <t>Конкурс с предварительным квалификационным отбором</t>
  </si>
  <si>
    <t>Управляющий директор -</t>
  </si>
  <si>
    <t xml:space="preserve">Управляющий директор - член Правления </t>
  </si>
  <si>
    <t>_____________________________________  Оспанов Е.М.</t>
  </si>
  <si>
    <t xml:space="preserve">Қаламдар шарикті көк </t>
  </si>
  <si>
    <t>Ақпараттық жүйелерге жазылу қызметтері</t>
  </si>
  <si>
    <t>Услуги по подписке на информационные ленты</t>
  </si>
  <si>
    <t>пп.36 п.3 ст.39</t>
  </si>
  <si>
    <t>07 Июль</t>
  </si>
  <si>
    <t>Көп атқарымды құрылғы</t>
  </si>
  <si>
    <t xml:space="preserve"> 262018.900.000006</t>
  </si>
  <si>
    <t xml:space="preserve">Высокопроизводительный монохромный МФУ </t>
  </si>
  <si>
    <t>Жоғары өнімді монохромды КФҚ</t>
  </si>
  <si>
    <t xml:space="preserve">Курсы казахского языка для работников </t>
  </si>
  <si>
    <t>Қызметкерлерге арналған қазақ тілі курстары</t>
  </si>
  <si>
    <t>222925.900.000004</t>
  </si>
  <si>
    <t>Файл - вкладыш</t>
  </si>
  <si>
    <t>для документов, с перфорацией, из полипропиленовой пленки</t>
  </si>
  <si>
    <t>711110000</t>
  </si>
  <si>
    <t>791310000</t>
  </si>
  <si>
    <t>Модификация модуля "закупки" в части доработки способа осуществления закупа ЛС и (или) МИ "Один источник" по долгосрочным договорам поставки на соответствующий финансовый год</t>
  </si>
  <si>
    <t>Тиісті қаржы жылына арналған ұзақ мерзімді жеткізу шарттары бойынша ДЗ және (немесе) МБ "бір көз" сатып алуды жүзеге асыру тәсілін пысықтау бөлігінде "сатып алу" модулін түрлендіру</t>
  </si>
  <si>
    <t xml:space="preserve">Главный менеджер управления  закупок </t>
  </si>
  <si>
    <t xml:space="preserve">Начальник управления закупок </t>
  </si>
  <si>
    <t>член Правления                   _____________________________________ Отеуов М.К.</t>
  </si>
  <si>
    <t>г. Астана, Алматы район</t>
  </si>
  <si>
    <t>Астана қ. Алматы ауданы</t>
  </si>
  <si>
    <t>Приложение  к приказу председателя Правления ТОО "СК-Фармация" от ____  декабря  2022 года №06-02/________</t>
  </si>
  <si>
    <t>Годовой план государственных закупок товаров, работ и услуг ТОО "СК-Фармация" на 2023 год</t>
  </si>
  <si>
    <t xml:space="preserve"> С момента заключения договора до 31 декабря 2023 года</t>
  </si>
  <si>
    <t>Келісім-шарт жасасу кезінен бастап 2023 жылдың 31 желтоқсанға дейін</t>
  </si>
  <si>
    <t xml:space="preserve"> С 1 января до 31 декабря 2023 года</t>
  </si>
  <si>
    <t>2023 жылғы 1 қаңтардан 31 желтоқсанға дейін</t>
  </si>
  <si>
    <t>Кеңсе жабдықтарына арналған қағаз</t>
  </si>
  <si>
    <t>А4 форматы</t>
  </si>
  <si>
    <t>329915.100.000000</t>
  </si>
  <si>
    <t xml:space="preserve"> Карандаш</t>
  </si>
  <si>
    <t>простой</t>
  </si>
  <si>
    <t>Қарындаш</t>
  </si>
  <si>
    <t>қарапайым</t>
  </si>
  <si>
    <t>Простой карандаш</t>
  </si>
  <si>
    <t>Қарапайым қарындаш</t>
  </si>
  <si>
    <t>ОИН</t>
  </si>
  <si>
    <t>С 1 января по 31 декабря 2023 года</t>
  </si>
  <si>
    <t>2023 жылдың 01 қаңтарынан 31 желтоқсанға дейын</t>
  </si>
  <si>
    <t>Жетісу облысы, Талдықорған қ.</t>
  </si>
  <si>
    <t>Жетысуская область, г. Талдыкорган</t>
  </si>
  <si>
    <t xml:space="preserve">Алматы облысы, Қонаев қ., </t>
  </si>
  <si>
    <t xml:space="preserve">Алматинская область, г.Қонаев, </t>
  </si>
  <si>
    <t>Восточно-Казахстанская область, г.Усть-Каменогорск</t>
  </si>
  <si>
    <t>Шығыс Қазақстан облысы, Өскемен қ.</t>
  </si>
  <si>
    <t>631010000</t>
  </si>
  <si>
    <t>331010000</t>
  </si>
  <si>
    <t>101010000</t>
  </si>
  <si>
    <t>Абайская область, г.Семей</t>
  </si>
  <si>
    <t>Абай облысы, Семей қ.</t>
  </si>
  <si>
    <t>351010000</t>
  </si>
  <si>
    <t>621010000</t>
  </si>
  <si>
    <t>Ұлытау облысы, Жезқазған қ.</t>
  </si>
  <si>
    <t>Улытауская область, г.Жезказган</t>
  </si>
  <si>
    <t>611010000</t>
  </si>
  <si>
    <t xml:space="preserve">Шымкент қ., Әл Фараби ауданы, </t>
  </si>
  <si>
    <t>г.Шымкент, Аль-Фарабийский район</t>
  </si>
  <si>
    <t>151010000</t>
  </si>
  <si>
    <t>По заявке Заказчика до 31 декабря 2023 года</t>
  </si>
  <si>
    <t>Тапсырыс берушінің өтінімі бойынша 2023 жылғы 31 желтоқсанға дейін</t>
  </si>
  <si>
    <t>381211.000.000000</t>
  </si>
  <si>
    <t>Услуги по уничтожению лекарственных средств, изделий медицинского назначения и медицинской техники</t>
  </si>
  <si>
    <t>Дәрілік заттарды, медициналық мақсаттағы бұйымдар мен медициналық техниканы жою жөніндегі қызметтер</t>
  </si>
  <si>
    <t xml:space="preserve">Услуги по уничтожению лекарственных средств и изделий медицинского назначения </t>
  </si>
  <si>
    <t>Дәрілік заттар мен медициналық мақсаттағы бұйымдарды жою жөніндегі қызметтер</t>
  </si>
  <si>
    <t>Алматы облысы, Қарасай ауданы, Абай а.</t>
  </si>
  <si>
    <t>Алматинская область, Карасайский район, с.Абай</t>
  </si>
  <si>
    <t>Алматы қ., Түркісіб ауданы</t>
  </si>
  <si>
    <t>г.Алматы, Турксибский район</t>
  </si>
  <si>
    <t>С 1 марта по 31 декабря 2023 года</t>
  </si>
  <si>
    <t>2023 жылдың 01 наурыздан 31 желтоқсанға дейын</t>
  </si>
  <si>
    <t xml:space="preserve"> С 1 января по 31 декабря 2023 года</t>
  </si>
  <si>
    <t xml:space="preserve"> С 1 марта по 31 декабря 2023 года</t>
  </si>
  <si>
    <t>2023 жылғы 1 наурыздан 31 желтоқсанға дейін</t>
  </si>
  <si>
    <t>2023 жылғы 1 қаңтардан 01 наурызға дейін</t>
  </si>
  <si>
    <t xml:space="preserve"> С 1 января до 01 марта 2023 года</t>
  </si>
  <si>
    <t>Предоставление услуг  Service Desk с постоянным местонахождением одного сотрудника Service Desk на объекте заказчика</t>
  </si>
  <si>
    <t>Тапсырыс берушінің мекемесінде Сервистік қызмет көрсету орталығының бір қызметкерінің тұрғылықты жері бар Сервистік қызметтерді ұсыну</t>
  </si>
  <si>
    <t>г. Астана, ул. Достык 13/3</t>
  </si>
  <si>
    <t>Астана қ. Достық к, 13/3</t>
  </si>
  <si>
    <t xml:space="preserve"> келісім-шарт жасасу кезінен бастап 2023 жылдың 31 желтоқсанға дейін</t>
  </si>
  <si>
    <t>Подписка доступ к интернет-ресурсу (электронный ключ) на 12 пользователей</t>
  </si>
  <si>
    <t>12 пайдаланушыға арналған интернет-ресурсқа (электрондық кілт) жазылу</t>
  </si>
  <si>
    <t>участие в семинаре на тему "Введение в администрирование PostgreSQ"</t>
  </si>
  <si>
    <t xml:space="preserve">«PostgreSQL әкімшілігіне кіріспе» тақырыбындағы семинарға қатысу»    </t>
  </si>
  <si>
    <t>участие в семинаре на тему "Java и базы данных PostgreSQL, Oracle. Разработка клиент-серверных приложений"</t>
  </si>
  <si>
    <t xml:space="preserve">«Java және PostgreSQL дерекқорлары ,acacle. Клиент-сервер қосымшаларын әзірлеу» тақырыбындағы семинарға қатысу»    </t>
  </si>
  <si>
    <t>участие в семинаре на тему "Новые особенности Oracle 12c для разработчиков SQL запросов и PL/SQL модулей"</t>
  </si>
  <si>
    <t xml:space="preserve">«SQL сұраныстарын және PL/SQL модульдерін жасаушыларға арналған новыеacle 12c жаңа мүмкіндіктері» тақырыбындағы семинарға қатысу»    </t>
  </si>
  <si>
    <t>участие в семинаре на тему "Критическое мышление, умение анализировать и принимать решения"</t>
  </si>
  <si>
    <t xml:space="preserve">«Сыни тұрғыдан ойлау, талдау және шешім қабылдау қабілеті» тақырыбындағы семинарға қатысу»    </t>
  </si>
  <si>
    <t>участие в семинаре на тему "Ведения переговоров и урегулирование конфликтов"</t>
  </si>
  <si>
    <t xml:space="preserve">«Келіссөздер жүргізу және жанжалдарды реттеу» тақырыбындағы семинарға қатысу»    </t>
  </si>
  <si>
    <t>участие в семинаре на тему "Управление рисками информационной безопасности ISO 27005"</t>
  </si>
  <si>
    <t xml:space="preserve">«ISO 27005 ақпараттық қауіпсіздік тәуекелдерін басқару» тақырыбындағы семинарға қатысу»    </t>
  </si>
  <si>
    <t>участие в семинаре на тему "Налоговый консультант РК I-ой категории"</t>
  </si>
  <si>
    <t xml:space="preserve">«ҚР I-санатты салық консультанты» тақырыбындағы семинарға қатысу»    </t>
  </si>
  <si>
    <t>участие в семинаре на тему "Профессиональный финансовый менеджер "</t>
  </si>
  <si>
    <t xml:space="preserve">«Кәсіби қаржы менеджері» тақырыбындағы семинарға қатысу»    </t>
  </si>
  <si>
    <t>участие в семинаре на тему "Закон и Правила о государственных закупках, с изменениями на 2023 год"</t>
  </si>
  <si>
    <t xml:space="preserve">«Мемлекеттік сатып алу туралы Заң және ережелер, 2023 жылға өзгертулермен» тақырыбындағы семинарға қатысу»    </t>
  </si>
  <si>
    <t>участие в семинаре на тему "Договорное право: сделки и договоры, отдельные моменты"</t>
  </si>
  <si>
    <t xml:space="preserve">«Шарттық құқық: мәмілелер мен шарттар, жекелеген тармақтар» тақырыбындағы семинарға қатысу»    </t>
  </si>
  <si>
    <t>участие в семинаре на тему "Эффективное ведение судебных споров: актуальные вопросы применения процессуального законодательства"</t>
  </si>
  <si>
    <t xml:space="preserve">«Сот дауларын тиімді жүргізу: іс жүргізу заңнамасын қолданудың өзекті мәселелері» тақырыбындағы семинарға қатысу»    </t>
  </si>
  <si>
    <t>участие в семинаре на тему "Обзор налогового законодательства. Краткий курс налогооблажения в Казахстане"</t>
  </si>
  <si>
    <t xml:space="preserve">«Салық заңнамасына шолу. Қазақстандағы салық салудың қысқаша курсы» тақырыбындағы семинарға қатысу»    </t>
  </si>
  <si>
    <t xml:space="preserve">«Қазақстан Республикасының Әкімшілік рәсімдік-процестік кодексі. Қазақстан Республикасының Азаматтық іс жүргізу кодексіндегі өзекті өзгерістер» тақырыбындағы семинарға қатысу»    </t>
  </si>
  <si>
    <t>участие в семинаре на тему "Корпоративное управление: правовые и организационные вопросы"</t>
  </si>
  <si>
    <t>участие в семинаре на тему "Административный процедурно-процессуальный Кодекс Республики Казахстан. Актуальные изменения в гражданско – процессуальном Кодексе Республики Казахстан"</t>
  </si>
  <si>
    <t xml:space="preserve">«Корпоративтік басқару: құқықтық және ұйымдастырушылық мәселелер» тақырыбындағы семинарға қатысу»    </t>
  </si>
  <si>
    <t>С 01 января по 31 декабря 2023 года</t>
  </si>
  <si>
    <t>Набор</t>
  </si>
  <si>
    <t>259923.500.000005</t>
  </si>
  <si>
    <t>Скрепка</t>
  </si>
  <si>
    <t>канцелярская, металлическая</t>
  </si>
  <si>
    <t>Қыстырғыш</t>
  </si>
  <si>
    <t>кеңселік, металды</t>
  </si>
  <si>
    <t>329959.900.000067</t>
  </si>
  <si>
    <t>Штрих-корректор</t>
  </si>
  <si>
    <t>канцелярский</t>
  </si>
  <si>
    <t>кеңселік</t>
  </si>
  <si>
    <t>205210.900.000025</t>
  </si>
  <si>
    <t>Клей</t>
  </si>
  <si>
    <t>Желім</t>
  </si>
  <si>
    <t>Клей-карандаш</t>
  </si>
  <si>
    <t>Желім қарындаш</t>
  </si>
  <si>
    <t>221973.210.000000</t>
  </si>
  <si>
    <t>Ластик</t>
  </si>
  <si>
    <t>Өшіргіш</t>
  </si>
  <si>
    <t>мягкий</t>
  </si>
  <si>
    <t>жұмсақ</t>
  </si>
  <si>
    <t>259318.900.000013</t>
  </si>
  <si>
    <t>Шило</t>
  </si>
  <si>
    <t>Біз</t>
  </si>
  <si>
    <t>ағаш тұтқасымен</t>
  </si>
  <si>
    <t>с деревянной рукояткой</t>
  </si>
  <si>
    <t>259923.500.000006</t>
  </si>
  <si>
    <t>Қапсырма</t>
  </si>
  <si>
    <t>Скоба</t>
  </si>
  <si>
    <t>кеңселік мақсаттар үшін, сымды</t>
  </si>
  <si>
    <t>для канцелярских целей, проволочная</t>
  </si>
  <si>
    <t>Скобы для степлера №24/6</t>
  </si>
  <si>
    <t>№24/6 степлерге арналған қапсырмалар</t>
  </si>
  <si>
    <t>Скрепки 22мм, 100 штук в упаковке</t>
  </si>
  <si>
    <t>Қағаз қыстырғыштар 22 мм, қаптамада 100 дана</t>
  </si>
  <si>
    <t>257111.390.000003</t>
  </si>
  <si>
    <t>Пышақ</t>
  </si>
  <si>
    <t>Нож</t>
  </si>
  <si>
    <t>Кеңсе пышағы</t>
  </si>
  <si>
    <t>Канцелярский нож</t>
  </si>
  <si>
    <t>329959.990.000018</t>
  </si>
  <si>
    <t>Саусақтарды ылғалдаушы</t>
  </si>
  <si>
    <t>Увлажнитель пальцев</t>
  </si>
  <si>
    <t>Увлажнитель/подушечка для пальцев</t>
  </si>
  <si>
    <t>Ылғалдандырғыш/саусақ жастықшасы</t>
  </si>
  <si>
    <t>282323.900.000008</t>
  </si>
  <si>
    <t>Антистеплер</t>
  </si>
  <si>
    <t>қапсырма үшін</t>
  </si>
  <si>
    <t>для скоб</t>
  </si>
  <si>
    <t>172313.500.000003</t>
  </si>
  <si>
    <t>Тіркелім</t>
  </si>
  <si>
    <t>Регистр</t>
  </si>
  <si>
    <t>картонды, формат А4</t>
  </si>
  <si>
    <t>картонный, формат А4</t>
  </si>
  <si>
    <t>Папка регистр А4 80мм</t>
  </si>
  <si>
    <t>Папка Регистр А4 80мм</t>
  </si>
  <si>
    <t>282323.900.000005</t>
  </si>
  <si>
    <t>Тескіш</t>
  </si>
  <si>
    <t>Дырокол</t>
  </si>
  <si>
    <t>кеңселік, механикалық</t>
  </si>
  <si>
    <t>канцелярский, механический</t>
  </si>
  <si>
    <t>257113.350.000000</t>
  </si>
  <si>
    <t>Ұштағыш</t>
  </si>
  <si>
    <t>Точилка</t>
  </si>
  <si>
    <t>пластик</t>
  </si>
  <si>
    <t>пластиковая</t>
  </si>
  <si>
    <t>205911.700.000004</t>
  </si>
  <si>
    <t>Фотоқағаз</t>
  </si>
  <si>
    <t>Фотобумага</t>
  </si>
  <si>
    <t>жылтыр</t>
  </si>
  <si>
    <t>глянцевая</t>
  </si>
  <si>
    <t>Фотобумага глянцевая А4, 80 мм</t>
  </si>
  <si>
    <t>А4, 80 мм жылтыр фотоқағаз</t>
  </si>
  <si>
    <t>222213.000.000003</t>
  </si>
  <si>
    <t xml:space="preserve"> Қоқыс салатын урна</t>
  </si>
  <si>
    <t>Урна мусорная</t>
  </si>
  <si>
    <t>офисті, пластик</t>
  </si>
  <si>
    <t>офисная, пластиковая</t>
  </si>
  <si>
    <t>Корзина для мусора</t>
  </si>
  <si>
    <t>Қоқыс жәшігі</t>
  </si>
  <si>
    <t>222929.900.000142</t>
  </si>
  <si>
    <t>Науа</t>
  </si>
  <si>
    <t>Лоток</t>
  </si>
  <si>
    <t>кеңселік, пластмассалық</t>
  </si>
  <si>
    <t>канцелярский, пластмассовый</t>
  </si>
  <si>
    <t>Лотки для документов</t>
  </si>
  <si>
    <t>Құжат науалары</t>
  </si>
  <si>
    <t>282323.900.000002</t>
  </si>
  <si>
    <t>Степлер</t>
  </si>
  <si>
    <t>Степлер №24/6</t>
  </si>
  <si>
    <t>№24/6 Степлер</t>
  </si>
  <si>
    <t>222929.900.000045</t>
  </si>
  <si>
    <t>Жиектеме</t>
  </si>
  <si>
    <t>Рамка</t>
  </si>
  <si>
    <t>пластик, карталарға және суреттерге арналған</t>
  </si>
  <si>
    <t>пластиковая, для карт и картин</t>
  </si>
  <si>
    <t xml:space="preserve">Жиектеме А4 </t>
  </si>
  <si>
    <t xml:space="preserve">Рамки А4 </t>
  </si>
  <si>
    <t>172313.500.000001</t>
  </si>
  <si>
    <t>Тезтікпе</t>
  </si>
  <si>
    <t>Скоросшиватель</t>
  </si>
  <si>
    <t>А4 пішімі</t>
  </si>
  <si>
    <t>Құжат тігілетін А4 форматы</t>
  </si>
  <si>
    <t>Скоросшиватель формат А4</t>
  </si>
  <si>
    <t>172312.700.000000</t>
  </si>
  <si>
    <t>Қағаз</t>
  </si>
  <si>
    <t>Бумага</t>
  </si>
  <si>
    <t>белгілерге арналған</t>
  </si>
  <si>
    <t>для заметок</t>
  </si>
  <si>
    <t>Бумага для заметок 100 листов 7,6*7,6 см</t>
  </si>
  <si>
    <t>Ескерту қағазы 100 парақ 7,6*7,6 см</t>
  </si>
  <si>
    <t>110711.310.000000</t>
  </si>
  <si>
    <t> Су</t>
  </si>
  <si>
    <t>Вода</t>
  </si>
  <si>
    <t>газдалмаған, минералды, асханалық, табиғи</t>
  </si>
  <si>
    <t>негазированная, минеральная, столовая, природная</t>
  </si>
  <si>
    <t>су 0,5 пластик</t>
  </si>
  <si>
    <t>вода 0,5 пластик</t>
  </si>
  <si>
    <t>Бутылка</t>
  </si>
  <si>
    <t>Қосымша - файл</t>
  </si>
  <si>
    <t>құжаттар үшін, перфорациямен, полипропилен үлдірден</t>
  </si>
  <si>
    <t xml:space="preserve">Файлы 100 шт 40 мкр </t>
  </si>
  <si>
    <t>Файлдар 100 дана 40 мкр</t>
  </si>
  <si>
    <t>272011.900.000003</t>
  </si>
  <si>
    <t>Батарейка</t>
  </si>
  <si>
    <t>типі ААА</t>
  </si>
  <si>
    <t>тип ААА</t>
  </si>
  <si>
    <t>AAA батареялары</t>
  </si>
  <si>
    <t>272011.900.000004</t>
  </si>
  <si>
    <t>типі АА</t>
  </si>
  <si>
    <t>тип АА</t>
  </si>
  <si>
    <t xml:space="preserve">AA батареялары </t>
  </si>
  <si>
    <t xml:space="preserve">Батарейки AA </t>
  </si>
  <si>
    <t>Батарейки AAA</t>
  </si>
  <si>
    <t>263030.900.000146</t>
  </si>
  <si>
    <t>Коннектор</t>
  </si>
  <si>
    <t>компьтердлік</t>
  </si>
  <si>
    <t>компьютерный</t>
  </si>
  <si>
    <t>Штук</t>
  </si>
  <si>
    <t xml:space="preserve">Коннектор RJ-45 </t>
  </si>
  <si>
    <t>Мамандандырылған кабель</t>
  </si>
  <si>
    <t>түрі UTP</t>
  </si>
  <si>
    <t xml:space="preserve">Cетевой фильтр </t>
  </si>
  <si>
    <t xml:space="preserve">Желілік сүзгі </t>
  </si>
  <si>
    <t>272022.900.000003</t>
  </si>
  <si>
    <t>Аккумулятор</t>
  </si>
  <si>
    <t>ИБП үшін, кернеуі 12 В, сыйымдылығы 7-20 А/сағ, қорғасын-қышқылды</t>
  </si>
  <si>
    <t>для ИБП, напряжение 12 В, емкость 7-20 А/ч, свинцово-кислотный</t>
  </si>
  <si>
    <t>Аккумуляторная батарея для ИБП</t>
  </si>
  <si>
    <t>ИБП үшін қайта зарядталатын батарея</t>
  </si>
  <si>
    <t>262040.000.000232</t>
  </si>
  <si>
    <t>Үздіксіз қоректеу көзі</t>
  </si>
  <si>
    <t>Источник бесперебойного питания</t>
  </si>
  <si>
    <t>интерактивті</t>
  </si>
  <si>
    <t>интерактивный</t>
  </si>
  <si>
    <t>Үздіксіз қуат көзі</t>
  </si>
  <si>
    <t>Шкаф металлический</t>
  </si>
  <si>
    <t>Металл Шкаф</t>
  </si>
  <si>
    <t>Программный продукт для корпоративной электронной почты</t>
  </si>
  <si>
    <t>Корпоративтік электрондық поштаға арналған бағдарламалық өнім</t>
  </si>
  <si>
    <t>Программный продукт для системы мониторинга сети</t>
  </si>
  <si>
    <t>Желіні бақылау жүйесіне арналған бағдарламалық өнім</t>
  </si>
  <si>
    <t>Деректердің сақтық көшірмесін жасауға арналған бағдарламалық өнім</t>
  </si>
  <si>
    <t>Услуги по продлению доменного имени efis.kz</t>
  </si>
  <si>
    <t>Домендік атауды ұзарту бойынша қызметтер efis.kz</t>
  </si>
  <si>
    <t>услуга</t>
  </si>
  <si>
    <t>Услуги по поставке лицензии на SSL Сертификат sk-pharmacy.kz (поддержка субдоменов)</t>
  </si>
  <si>
    <t>SSL сертификатына лицензия жеткізу қызметтері sk-pharmacy.kz (қосалқы домендерді қолдау)</t>
  </si>
  <si>
    <t>Услуги по поставке лицензии на SSL Сертификат efis.kz</t>
  </si>
  <si>
    <t>SSL сертификатына лицензия жеткізу қызметтері efis.kz</t>
  </si>
  <si>
    <t>Папка-биговка СКФ</t>
  </si>
  <si>
    <t>СКФ биговка қалтасы</t>
  </si>
  <si>
    <t>Услуги полиграфические по изготовлению/печатанию полиграфической продукции (визитки)»</t>
  </si>
  <si>
    <t>Полиграфиялық өнімдерді (визиткаларды) дайындау/басып шығару жөніндегі полиграфиялық қызметтер"</t>
  </si>
  <si>
    <t>Ноутбук</t>
  </si>
  <si>
    <t>262013.000.000018</t>
  </si>
  <si>
    <t>Сервер</t>
  </si>
  <si>
    <t>жалпыға ортақ пайдаланылатын</t>
  </si>
  <si>
    <t>общего назначения, стоечный</t>
  </si>
  <si>
    <t xml:space="preserve">Серверное оборудование </t>
  </si>
  <si>
    <t xml:space="preserve">Серверлік жабдық </t>
  </si>
  <si>
    <t>Калькулятор</t>
  </si>
  <si>
    <t>Набор текстмаркеров</t>
  </si>
  <si>
    <t>Маркер черный</t>
  </si>
  <si>
    <t xml:space="preserve">Корректор </t>
  </si>
  <si>
    <t>Түзеткіш</t>
  </si>
  <si>
    <t>282312.100.000000</t>
  </si>
  <si>
    <t>бухгалтерский</t>
  </si>
  <si>
    <t>бухгалтерлік есеп</t>
  </si>
  <si>
    <t>Маркер</t>
  </si>
  <si>
    <t xml:space="preserve">222925.500.000013 </t>
  </si>
  <si>
    <t xml:space="preserve">Ножницы канцелярские средние с большой рукояткой. Длина – 160 мм. </t>
  </si>
  <si>
    <t xml:space="preserve">Үлкен сабы бар орташа кеңсе канцелярлық қайшы. Ұзындығы – 160мм. </t>
  </si>
  <si>
    <t>Скобы для степлера №10</t>
  </si>
  <si>
    <t>№10 степлерге арналған қапсырмалар</t>
  </si>
  <si>
    <t xml:space="preserve">Ручки шариковые синие </t>
  </si>
  <si>
    <t>Логотипі бар хаттардың бланкілері. Колотек+ қағазы 90 г/м, Түсі 5 + 0 нөмірленеді. Офсеттік басып шығару, PANTONE. Тапсырыс берушінің келісімі бойынша дизайн әзірлеу. Саны -3000</t>
  </si>
  <si>
    <t>Бланки писем с логотипом. Бумага  - колотек+  90 г/м, красочность 5+0 c нумерацией. Офсетная печать, PANTONE. Разработка дизайна по согласованию с Заказчиком.  Количество -3000</t>
  </si>
  <si>
    <t>шоғырсым үшін, мәтінді</t>
  </si>
  <si>
    <t>для кабеля, текстовой</t>
  </si>
  <si>
    <t>Мәтін маркерлерінің жиынтығы</t>
  </si>
  <si>
    <t>Внешний накопитель</t>
  </si>
  <si>
    <t>Сыртқы диск</t>
  </si>
  <si>
    <t>Сыртқы қатқыл диск</t>
  </si>
  <si>
    <t>262021.300.000056</t>
  </si>
  <si>
    <t>Диск жесткий внешний</t>
  </si>
  <si>
    <t>интерфейс USB 3.0, сыйымдылығы 3 Тб-тан артық, бірақ 6 Тб-тан артық емес, өлшемі 2,5"</t>
  </si>
  <si>
    <t>интерфейс USB 3.0, емкость более 3 Тб, но не более 6 Тб, размер 2,5"</t>
  </si>
  <si>
    <t>329959.900.000054</t>
  </si>
  <si>
    <t>Жұмыс орны</t>
  </si>
  <si>
    <t>Место рабочее</t>
  </si>
  <si>
    <t>оператордың</t>
  </si>
  <si>
    <t>оператора</t>
  </si>
  <si>
    <t>Услуги по оценке  качества лекарственных средств, медицинских изделий</t>
  </si>
  <si>
    <t>Дәрілік заттардың, медициналық бұйымдардың сапасын бағалау жөніндегі қызметтер</t>
  </si>
  <si>
    <t>262011.100.000008</t>
  </si>
  <si>
    <t>Бизнес-ноутбук</t>
  </si>
  <si>
    <t>экранның диагоналі 12 дюймдік және одан артық</t>
  </si>
  <si>
    <t>диагональ экрана свыше 12 дюймов</t>
  </si>
  <si>
    <t>В течении 40 (сорок) календарных дней с момента заключения договора</t>
  </si>
  <si>
    <t>келісім-шарт жасалған күннен бастап 40 (қырық) күнтізбелік күн ішінде</t>
  </si>
  <si>
    <t>_____________________ Кабдуллина С.Ж.</t>
  </si>
  <si>
    <t xml:space="preserve">Начальник службы по развитию IT-технологий   </t>
  </si>
  <si>
    <t>__________________ Нугманов Е.С.</t>
  </si>
  <si>
    <t>Начальник управления логистики и складской инфраструктуры</t>
  </si>
  <si>
    <t>_______________________  Байрамова З.Р.</t>
  </si>
  <si>
    <t>"СК-Фармация" ЖШС Басқарма төрағасының 2022 жылғы _______ желтоқсандағы № 06-02 /________ бұйрығына қосымша</t>
  </si>
  <si>
    <t>2023 жылға арналған "СК-Фармация" ЖШС тауарларды, жұмыстар мен қызметтерді мемлекеттік сатып алудың жылдық жоспары</t>
  </si>
  <si>
    <t>Программный продукт для резервного копирования данных</t>
  </si>
  <si>
    <t xml:space="preserve">Второй этап конкурса с использованием рамочного соглашения </t>
  </si>
  <si>
    <t>611043.100.000000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</si>
  <si>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</si>
  <si>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</si>
  <si>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Услуги по продлению лицензий на право использования программного обеспечения на 1 год (ПО межсетевых защитных экранов FortiGate-300Е)(на 1 год)</t>
  </si>
  <si>
    <t>Бағдарламалық қамтамасыз етуді пайдалану құқығына лицензияларды 1 жылға ұзарту жөніндегі қызметтер (FortiGate-300Е желіаралық қорғау экрандары бойынша)(1 жылға)</t>
  </si>
  <si>
    <t>пп.50 п.3 ст.39</t>
  </si>
  <si>
    <t>В течении 15 (пятнадцать) календарных дней с момента заключения договора</t>
  </si>
  <si>
    <t>В течении 120 (сто двадцать) календарных дней с момента заключения договора</t>
  </si>
  <si>
    <t xml:space="preserve">Келісім-шартқа қол қойылған күннен  бастап 120 (жүз жиырма) күнтізбелік күн ішінде </t>
  </si>
  <si>
    <t>181219.900.000000</t>
  </si>
  <si>
    <t>Работы по изготовлению полиграфической/печатанию полиграфической продукции</t>
  </si>
  <si>
    <t>Работы по изготовлению полиграфической/печатанию полиграфической продукции (кроме книг, фото, периодических изданий)</t>
  </si>
  <si>
    <t>Полиграфиялық өнімді (кітаптардан, фотолардан, мерзімді басылымдардан басқа)дайындау/басып шығару жөніндегі жұмыстар</t>
  </si>
  <si>
    <t>Полиграфиялық өнімді дайындау/басып шығару жөніндегі жұмыстар</t>
  </si>
  <si>
    <t>Работы по изготовлению печатных форм/печатей/трафаретов</t>
  </si>
  <si>
    <t>Баспа нысандарын/мөрлерді/трафареттерді дайындау бойынша жұмыстар</t>
  </si>
  <si>
    <t>пп.11 п.3 ст.39</t>
  </si>
  <si>
    <t>04Апрель</t>
  </si>
  <si>
    <t>С 1 июня по 31 декабря 2023 года</t>
  </si>
  <si>
    <t>2023 жылдың 01 маусымнан 31 желтоқсанға дейын</t>
  </si>
  <si>
    <t>2023 жылдың 01 маусымнан 31 желтоқсанға дейін</t>
  </si>
  <si>
    <t>267013.000.000006</t>
  </si>
  <si>
    <t>Сандық фотокамера</t>
  </si>
  <si>
    <t>Фотокамера цифровая</t>
  </si>
  <si>
    <t>айналы</t>
  </si>
  <si>
    <t>зеркальная</t>
  </si>
  <si>
    <t>Айналы фотокамера</t>
  </si>
  <si>
    <t>Зеркальная фотокамера</t>
  </si>
  <si>
    <t>Фотовспышка</t>
  </si>
  <si>
    <t>08 Август</t>
  </si>
  <si>
    <t>Софтбокс</t>
  </si>
  <si>
    <t>Штатив</t>
  </si>
  <si>
    <t>Радиомикрофон</t>
  </si>
  <si>
    <t>Карта памяти</t>
  </si>
  <si>
    <t xml:space="preserve">Колонка </t>
  </si>
  <si>
    <t>Приставка телевизионная</t>
  </si>
  <si>
    <t>Дисковый массив</t>
  </si>
  <si>
    <t>участие в семинаре на тему "Эффективные коммуникации"</t>
  </si>
  <si>
    <t xml:space="preserve">«Тиімді байланыс» тақырыбындағы семинарға қатысу»    </t>
  </si>
  <si>
    <t>участие в семинаре на тему "Кадровый резерв и управление талантами"</t>
  </si>
  <si>
    <t xml:space="preserve">«Кадрлық резерв және таланттарды басқару» тақырыбындағы семинарға қатысу»    </t>
  </si>
  <si>
    <t>участие в семинаре на тему "Развивающая обратная связь в управлении эффективностью сотрудников"</t>
  </si>
  <si>
    <t xml:space="preserve">«Қызметкерлердің өнімділігін басқарудағы дамушы кері байланыс» тақырыбындағы семинарға қатысу»    </t>
  </si>
  <si>
    <t>участие в семинаре на тему "Трудовые споры.Обучение членов согласительной комиссии по применению трудового законодательства Республики Казахстан и умению вести переговоры и достижению консенсуса в трудовых спорах"</t>
  </si>
  <si>
    <t xml:space="preserve">«Еңбек даулары.Келісім комиссиясының мүшелерін оқыту Қазақстан Республикасының еңбек заңнамасын қолдану және еңбек дауларында келіссөздер жүргізу және консенсусқа қол жеткізу» тақырыбындағы семинарға қатысу»    </t>
  </si>
  <si>
    <t>участие в семинаре на тему "HR Management: Управление персоналом. Развитие людей в организации"</t>
  </si>
  <si>
    <t xml:space="preserve">«HR Management: персоналды басқару. Ұйымдағы адамдардың дамуы» тақырыбындағы семинарға қатысу»    </t>
  </si>
  <si>
    <t>участие в семинаре на тему "Эффективные инструменты продвижения контента для социальных сетей"</t>
  </si>
  <si>
    <t xml:space="preserve">«Әлеуметтік медиа үшін мазмұнды жылжытудың тиімді құралдары» тақырыбындағы семинарға қатысу»    </t>
  </si>
  <si>
    <t>участие в семинаре на тему "Логистический менеджмент"</t>
  </si>
  <si>
    <t xml:space="preserve">«Логистикалық менеджмент» тақырыбындағы семинарға қатысу»    </t>
  </si>
  <si>
    <t>участие в семинаре на тему "Incotermc и логистика "</t>
  </si>
  <si>
    <t xml:space="preserve">«Incoterms және логистика» тақырыбындағы семинарға қатысу»    </t>
  </si>
  <si>
    <t xml:space="preserve">Услуги по доработке ИС закупок ЛС и МИ  ИС «Электронные коммерческие закупки» 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</si>
  <si>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</si>
  <si>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</si>
  <si>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</si>
  <si>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Құрамында есірткі құралдары мен психотроптық заттар бар дәрілік заттарды кәдеге жарату қызметтері</t>
  </si>
  <si>
    <t>Услуги утилизации лекарственных средств, содержащих наркотические средства и психотропные вещества</t>
  </si>
  <si>
    <t>360020.200.000001</t>
  </si>
  <si>
    <t> Ауыз суды тазалау қызметтері </t>
  </si>
  <si>
    <t>Услуги по очистке питьевой воды</t>
  </si>
  <si>
    <t>Сүзгі модульдерін ауыстыру</t>
  </si>
  <si>
    <t>Замена фильтрующих модулей</t>
  </si>
  <si>
    <t>одна услуга</t>
  </si>
  <si>
    <t>Услуги по утилизации оборудования и мебели</t>
  </si>
  <si>
    <t>"Электрондық коммерциялық сатып алу" АЖ ДЗ және МБ сатып алу АЖ пысықтау жөніндегі қызметтері</t>
  </si>
  <si>
    <t>Услуги по предоставлению доступа к сервису проверки ФЛ и ЮЛ на основе данных из открытых интернет-источников</t>
  </si>
  <si>
    <t>Услуги оперативного центра информационной безопасности</t>
  </si>
  <si>
    <t>172314.500.000001</t>
  </si>
  <si>
    <t>Кеңсе жабдығына арналған қағаз</t>
  </si>
  <si>
    <t>форматы А3</t>
  </si>
  <si>
    <t>формат А3</t>
  </si>
  <si>
    <t xml:space="preserve">Бумага A3 </t>
  </si>
  <si>
    <t xml:space="preserve">A3 қағазы </t>
  </si>
  <si>
    <t>222925.700.000005</t>
  </si>
  <si>
    <t>Серіппе</t>
  </si>
  <si>
    <t>Пружина</t>
  </si>
  <si>
    <t>байланыстыру үшін, пластик, диаметрі 10 мм</t>
  </si>
  <si>
    <t xml:space="preserve"> для переплета, пластиковая, диаметр 10 мм</t>
  </si>
  <si>
    <t>Түптеуге арналған серіппелер, 10 мм. 100 дана уп.</t>
  </si>
  <si>
    <t>Пружины для переплета, 10 мм. 100 шт. уп.</t>
  </si>
  <si>
    <t>222925.700.000007</t>
  </si>
  <si>
    <t>байланыстыру үшін, пластик, диаметрі 14 мм</t>
  </si>
  <si>
    <t xml:space="preserve"> для переплета, пластиковая, диаметр 14 мм</t>
  </si>
  <si>
    <t>Түптеуге арналған серіппелер, 14 мм. 100 дана уп.</t>
  </si>
  <si>
    <t>Пружины для переплета, 14 мм. 100 шт. уп.</t>
  </si>
  <si>
    <t xml:space="preserve">Тетрадь общая 96 листов </t>
  </si>
  <si>
    <t>Дәптер жалпы 96 парақ</t>
  </si>
  <si>
    <t>222130.100.000001</t>
  </si>
  <si>
    <t>Пленка</t>
  </si>
  <si>
    <t>ламинация үшін</t>
  </si>
  <si>
    <t>для ламинирования</t>
  </si>
  <si>
    <t>Ламинаттауға арналған пленка</t>
  </si>
  <si>
    <t>Пленка для ламинирования</t>
  </si>
  <si>
    <t>110711.320.000000</t>
  </si>
  <si>
    <t>газированная, минеральная, столовая, природная</t>
  </si>
  <si>
    <t>газдалған, минералды, асхана, табиғи</t>
  </si>
  <si>
    <t>Вода газированная 0,5 пластик</t>
  </si>
  <si>
    <t>Газдалған су 0,5 пластик</t>
  </si>
  <si>
    <t>Подставка для цветов напольная</t>
  </si>
  <si>
    <t>801019.000.000010</t>
  </si>
  <si>
    <t xml:space="preserve"> Услуги по обеспечению информационной безопасности</t>
  </si>
  <si>
    <t>Ақпараттық қауіпсіздікті қамтамасыз ету жөніндегі қызметтер</t>
  </si>
  <si>
    <t>Ақпараттық қауіпсіздік жедел орталығының қызметтері</t>
  </si>
  <si>
    <t>Ақпараттық ресурстарға қолжетімділікті ұсыну бойынша қызметтер (пайдаланушыларды сертификаттау, қолжетімділікті алу және т. б.)</t>
  </si>
  <si>
    <t>Ақпараттық ресурстарға қолжетімділікті ұсыну жөніндегі қызметтер</t>
  </si>
  <si>
    <t>Ашық интернет-көздерден алынған деректер негізінде ЖТ және ЗТ тексеру сервисіне қол жеткізуді ұсыну жөніндегі қызметтер</t>
  </si>
  <si>
    <t>09 Сентябрь</t>
  </si>
  <si>
    <t>264031.900.000007</t>
  </si>
  <si>
    <t>Колонка</t>
  </si>
  <si>
    <t>звуковая</t>
  </si>
  <si>
    <t>дыбыстық</t>
  </si>
  <si>
    <t>Баған</t>
  </si>
  <si>
    <t>264020.750.000000</t>
  </si>
  <si>
    <t>Приемник телевизионный</t>
  </si>
  <si>
    <t>видеотюнер</t>
  </si>
  <si>
    <t>бейне тюнер</t>
  </si>
  <si>
    <t>Теледидар қабылдағышы</t>
  </si>
  <si>
    <t>Теледидар префиксі</t>
  </si>
  <si>
    <t>172313.300.000001</t>
  </si>
  <si>
    <t xml:space="preserve"> Тетрадь</t>
  </si>
  <si>
    <t>Подставка</t>
  </si>
  <si>
    <t>общая</t>
  </si>
  <si>
    <t>жалпы</t>
  </si>
  <si>
    <t>Дәптер</t>
  </si>
  <si>
    <t>Тіреуіш</t>
  </si>
  <si>
    <t>Еденге арналған гүл стенді</t>
  </si>
  <si>
    <t xml:space="preserve">«Кедендік декларациялау» тақырыбындағы семинарға қатысу </t>
  </si>
  <si>
    <t>участие в семинаре на тему «Таможенное декларирование»</t>
  </si>
  <si>
    <t xml:space="preserve">«Корпоративтік басқару, тәуекел-менеджмент және ішкі бақылау тиімділігін арттыру» тақырыбындағы семинарға қатысу    </t>
  </si>
  <si>
    <t>участие в семинаре на тему «Повышение эффективности корпоративного управления, риск-менеджмента и внутреннего контроля»</t>
  </si>
  <si>
    <t>Вакциналардың сапасын бағалау бойынша қызметтер</t>
  </si>
  <si>
    <t>Услуги по оценке качества вакцин</t>
  </si>
  <si>
    <t xml:space="preserve">620230.000.000000 </t>
  </si>
  <si>
    <t>Ақпараттық технологияларды тестілеу жөніндегі қызметтер</t>
  </si>
  <si>
    <t xml:space="preserve"> Услуги по тестированию информационных технологий</t>
  </si>
  <si>
    <t>Жүйедегі ақауларды анықтау, оқшаулау және жою мақсатында ақпараттық технологияларды сынау жөніндегі қызметтер</t>
  </si>
  <si>
    <t>Услуги по испытанию информационных технологий с целью выявления, локализации и устранения сбоев в системе</t>
  </si>
  <si>
    <t>БФАЖ аудиті бойынша қызметтер</t>
  </si>
  <si>
    <t>Услуги по аудиту ЕФИС</t>
  </si>
  <si>
    <t xml:space="preserve">Келісім-шартқа қол қойылған күннен  бастап 90 (тоқсан) күнтізбелік күн ішінде </t>
  </si>
  <si>
    <t>В течении 90 (девяносто) календарных дней с момента заключения договора</t>
  </si>
  <si>
    <t>620129.000.000000</t>
  </si>
  <si>
    <t>Бағдарламалық қамтамасыз ету</t>
  </si>
  <si>
    <t>Программное обеспечение</t>
  </si>
  <si>
    <t>бағдарламалық қамтамасыз етудің түпнұсқасы (тапсырыс бойынша бағдарламалық қамтамасыз етуді әзірлеу жөніндегі қызметтерден басқа)</t>
  </si>
  <si>
    <t>оригинал программного обеспечения (кроме услуг по разработке программных обеспечении по заказу)</t>
  </si>
  <si>
    <t>Қоймалар мен көлікті басқарудың бағдарламалық жасақтамасы</t>
  </si>
  <si>
    <t>Программное обеспечение управления складами и транспортом</t>
  </si>
  <si>
    <t>Комплект</t>
  </si>
  <si>
    <t>Келісім-шарт жасасу кезінен бастап 2023 жылдың 25 желтоқсанға дейін</t>
  </si>
  <si>
    <t xml:space="preserve"> С момента заключения договора до 25 декабря 2023 года</t>
  </si>
  <si>
    <t>2023 жылдың 1 қыркүйектен 31 желтоқсанға дейін</t>
  </si>
  <si>
    <t>С 1 сентября по 31 декабря 2023 года</t>
  </si>
  <si>
    <t>участие в семинаре на тему "Финансовое моделирование с использованием MS Excel"</t>
  </si>
  <si>
    <r>
      <t>"MS Excel көмегімен қаржылық модельдеу</t>
    </r>
    <r>
      <rPr>
        <b/>
        <sz val="10"/>
        <rFont val="Times New Roman"/>
        <family val="1"/>
        <charset val="204"/>
      </rPr>
      <t xml:space="preserve">" </t>
    </r>
    <r>
      <rPr>
        <sz val="10"/>
        <rFont val="Times New Roman"/>
        <family val="1"/>
        <charset val="204"/>
      </rPr>
      <t>тақырыбындағы семинарға қатысу</t>
    </r>
  </si>
  <si>
    <t>участие в семинаре на тему "Изменения и дополнения в налоговом законодательстве РК и МСФО"</t>
  </si>
  <si>
    <r>
      <t>"ҚР және ҚЕХС салық заңнамасындағы өзгерістер мен толықтырулар</t>
    </r>
    <r>
      <rPr>
        <b/>
        <sz val="10"/>
        <rFont val="Times New Roman"/>
        <family val="1"/>
        <charset val="204"/>
      </rPr>
      <t xml:space="preserve">" </t>
    </r>
    <r>
      <rPr>
        <sz val="10"/>
        <rFont val="Times New Roman"/>
        <family val="1"/>
        <charset val="204"/>
      </rPr>
      <t>тақырыбындағы семинарға қатысу</t>
    </r>
  </si>
  <si>
    <t>участие в семинаре на тему "Углубленный курс MS Excel и основы анализа данных"</t>
  </si>
  <si>
    <t>"MS Excel тереңдетілген курсы және деректерді талдау негіздері" тақырыбындағы семинарға қатысу</t>
  </si>
  <si>
    <t>711235.900.000002</t>
  </si>
  <si>
    <t xml:space="preserve"> Земельно-кадастровые работы</t>
  </si>
  <si>
    <t>Земельно-кадастровые работы</t>
  </si>
  <si>
    <t>Жер-кадастр жұмыстары</t>
  </si>
  <si>
    <t>Работы по определению кадастрового номера земельных участков</t>
  </si>
  <si>
    <t>Жер учаскелерінің кадастрлық нөмірін айқындау жөніндегі жұмыстар</t>
  </si>
  <si>
    <t>Акмолинская область, Целиноградский район, с.Акмол</t>
  </si>
  <si>
    <t>Ақмола облысы, Целиноград ауданы, Ақмол а.</t>
  </si>
  <si>
    <t>234911.000.000004</t>
  </si>
  <si>
    <t>под цветочный горшок, из керамики</t>
  </si>
  <si>
    <t>гүл құмыраның астына, керамикадан</t>
  </si>
  <si>
    <t>10 Октябрь</t>
  </si>
  <si>
    <t>Расчеты показателей финансово-хозяйственной деятельности</t>
  </si>
  <si>
    <t>(уточнение во II полугодии 2023 года)</t>
  </si>
  <si>
    <t xml:space="preserve"> Приобретение инвестиций, товаров, работ и услуг</t>
  </si>
  <si>
    <t>КТРУ</t>
  </si>
  <si>
    <t>Наименование проекта</t>
  </si>
  <si>
    <t>Наименование планируемых к приобретению (созданию) активов</t>
  </si>
  <si>
    <t>Ед.изм.</t>
  </si>
  <si>
    <t>Количество</t>
  </si>
  <si>
    <t>Цена без учета НДС в тенге</t>
  </si>
  <si>
    <t>Всего стоимость (без НДС) в  тенге</t>
  </si>
  <si>
    <t>Цена с НДС , в тенге</t>
  </si>
  <si>
    <t>Всего стоимость с НДС, в тенге</t>
  </si>
  <si>
    <t>Краткая техническая характеристика</t>
  </si>
  <si>
    <t>Примечание</t>
  </si>
  <si>
    <t xml:space="preserve"> План. сумма договора (без НДС)</t>
  </si>
  <si>
    <t>Договор заключен ( с учетом НДС)</t>
  </si>
  <si>
    <t xml:space="preserve">Освоено </t>
  </si>
  <si>
    <t xml:space="preserve">Прогнозная сумма договора </t>
  </si>
  <si>
    <t>Уменьшение / увеличение плановой суммы</t>
  </si>
  <si>
    <t>Приобретение работ и услуг:</t>
  </si>
  <si>
    <t>841112.200.000000</t>
  </si>
  <si>
    <t>в том числе:</t>
  </si>
  <si>
    <t>Брокерские услуги для "таможенной очистки" грузов в рамках прямых договоров.</t>
  </si>
  <si>
    <t>Суммы сокращены за счет уменьшения поставок вакцин в рамках ПК с условиями поставки CIP, сокращения поставок вакцин КВИ. Услуги таможенного оформления на ЛС Пфайзер оказывает KLS.</t>
  </si>
  <si>
    <t xml:space="preserve">Услуги грузообслуживания в области воздушного транспорта </t>
  </si>
  <si>
    <t>Суммы сокращены за счет уменьшения поставок вакцин  и других ЛС,  поставляемых в рамках ПК с условиями поставки CIP ЛС Пфайзер, Медак и. т.д.)</t>
  </si>
  <si>
    <t>464611.100.000001</t>
  </si>
  <si>
    <t>Услуги по оценке качества лекарственных средств, медицинских изделий</t>
  </si>
  <si>
    <t>Сертификация ЛС и МИ методом декларирования</t>
  </si>
  <si>
    <t>Прогнозные ЛС и МИ, закуплены  на условиях поставки DDP с готовыми сертификатами соответствия продукции.</t>
  </si>
  <si>
    <t>Сертификация вакцин</t>
  </si>
  <si>
    <t>Большинство вакцин ввезены  разовым ввозом, не подлежат сертификации.</t>
  </si>
  <si>
    <t>Скращение сумм связано с увеличением фасовки ЛС до 50, 100, 200 единиц партии товара во вторичной упаковке, сокращением поставки вакцин КВИ.</t>
  </si>
  <si>
    <t>Скращение сумм связано с увеличением фасовки ЛС до 50, 100, 200 единиц партии товара во вторичной упаковке.</t>
  </si>
  <si>
    <t>Услуги по уничтожению лекарственных средств, медицинских изделий</t>
  </si>
  <si>
    <t>Услуги по уничтожению лекарственных средств, медицинских изделий.</t>
  </si>
  <si>
    <t xml:space="preserve"> Утилизации подлежат ЛС и МИ с истекшим сроком годности, в том числе контр. образцы ЛС, отобранных на сертификацию, ЛС и МИ от иностр. произв. и межд. орг., бракованные при приемке (бой, брак, отклон. температуры от норм). (прил. №3).</t>
  </si>
  <si>
    <t xml:space="preserve"> Приобретение прочих  услуг, не включенных в перечень государственных закупок товаров, работ и услуг:</t>
  </si>
  <si>
    <t>Услуга по хранению и транспортировке лекарственных средств, медицинских изделий</t>
  </si>
  <si>
    <t>Услуги по хранению и транспортировке ЛС и МИ</t>
  </si>
  <si>
    <t>Расчеты взяты за фактически оказанную услугу, по которым поставщиками услуг по хранению и транспортировке ЛС, МИ выставлены акты выполненных работ. (прил. № 5)</t>
  </si>
  <si>
    <t>Таможенные пошлины и сборы</t>
  </si>
  <si>
    <t>В связи с изменением законодательства в 2023г. увеличена сумма  пошлин  на МИ (картриджи, ставка 5%).</t>
  </si>
  <si>
    <t>Списание лекарственных средств, медицинских изделий</t>
  </si>
  <si>
    <t>Списание ЛС, МИ, не подлежащих дальнейшей реализации</t>
  </si>
  <si>
    <t>В перечень ЛС и МИ для списания включены прогнозно переходящие остатки ЛС и МИ со сроками годности, истекающими до 31.12.2023г. (прил.№ 2), в том числе НсПв. Сумма списания сокращена за счет освоения ЛС и МИ заказчиками, а также в связи с оказанием гум. помощи Афганистан на сумму 298 млн. тенге.</t>
  </si>
  <si>
    <t>Списание образцов лекарственных средств, медицинских изделий</t>
  </si>
  <si>
    <t>Списание списание контрольных образцов ЛС, отобранных для сертификации.</t>
  </si>
  <si>
    <t>В перечень ЛС и МИ для списания включены контрольные образцы ЛС 2020 года, отобранные на сертификацию, хранящиеся на складе до истечения сроков годности 2023г. (прил.№ 1)., в перечень включены возмещаемые поставщиком,( предоставлены бесплатные образцы) и есть не возмещаемые. Сумма для списания предоставлена в общем.</t>
  </si>
  <si>
    <t>Услуги по уничтожению лекарственных средств, содержащих НсПв</t>
  </si>
  <si>
    <t>Услуги по уничтожению лекарственных средств, содержащих НсПВ</t>
  </si>
  <si>
    <t xml:space="preserve"> Прогнозно по КП 2022г., по определению способа уничтожения направлен повторный (запрос в МЗ РК, ответ не предоставлен). Сумма списания сокращена за счет частичного освоения НсПв заказчиками.</t>
  </si>
  <si>
    <t>Регион</t>
  </si>
  <si>
    <t>Областной центр</t>
  </si>
  <si>
    <t>Численность сотрудников</t>
  </si>
  <si>
    <t>Норматив площади</t>
  </si>
  <si>
    <t>Наименьшее ЦП с НДС</t>
  </si>
  <si>
    <t>В план развития на 2023 г</t>
  </si>
  <si>
    <t>Факт сумма аренды на месяц</t>
  </si>
  <si>
    <t>Итого по договору на 2023</t>
  </si>
  <si>
    <t>Площадь</t>
  </si>
  <si>
    <t>ПОСТАВЩИК 2023 года</t>
  </si>
  <si>
    <t>№ договора</t>
  </si>
  <si>
    <t>Заключенные договора 2023 года</t>
  </si>
  <si>
    <t>Сумма по договору на 2023 год</t>
  </si>
  <si>
    <t>Ежемесячный платеж</t>
  </si>
  <si>
    <t>месячный платеж по 8.3.</t>
  </si>
  <si>
    <t>Итого проведено по 8.3. на 30092022</t>
  </si>
  <si>
    <t>число месяцев</t>
  </si>
  <si>
    <t>Плановая до конца года</t>
  </si>
  <si>
    <t>Данные УБУО</t>
  </si>
  <si>
    <t>отклонение</t>
  </si>
  <si>
    <t>Следует исправить</t>
  </si>
  <si>
    <t>Исключение СЗ-5758_02112022</t>
  </si>
  <si>
    <t>Отклонение</t>
  </si>
  <si>
    <t xml:space="preserve"> Акмолинская область</t>
  </si>
  <si>
    <t>Кокшетау</t>
  </si>
  <si>
    <t>Товарищество с ограниченной ответственностью "Риск Бизнес Кокшетау KZ"</t>
  </si>
  <si>
    <t>090340007747/230005/00 [ДГЗ-4]</t>
  </si>
  <si>
    <t>090340007747/230041/00 [ДГЗ-41]</t>
  </si>
  <si>
    <t>Актюбинская область</t>
  </si>
  <si>
    <t>Актобе</t>
  </si>
  <si>
    <t>ЗҰЛҚАШ ҚАНЫМ БАЗАРҒАЛИҚЫЗЫ</t>
  </si>
  <si>
    <t>090340007747/230013/00 [ДГЗ-13]</t>
  </si>
  <si>
    <t>090340007747/230037/00 [ДГЗ-37]</t>
  </si>
  <si>
    <t>Жетысуская область</t>
  </si>
  <si>
    <t>Талды - Корган</t>
  </si>
  <si>
    <t>ТОО "Тал-Кен"</t>
  </si>
  <si>
    <t>090340007747/230010/00 [ДГЗ-9]</t>
  </si>
  <si>
    <t>090340007747/230039/00 [ДГЗ-39]</t>
  </si>
  <si>
    <t>Алматинская область</t>
  </si>
  <si>
    <t>Конаев</t>
  </si>
  <si>
    <t>ГУ "Управлении финансов" Алматинской области № 38557 от 02.10.2023 г.</t>
  </si>
  <si>
    <t>Атырауская область</t>
  </si>
  <si>
    <t>Атырау</t>
  </si>
  <si>
    <t>ИП "ЧЕРДАБАЕВ Е.А."</t>
  </si>
  <si>
    <t>090340007747/230007/00 [ДГЗ-6]</t>
  </si>
  <si>
    <t>090340007747/230036/00 [ДГЗ-36]</t>
  </si>
  <si>
    <t xml:space="preserve"> ВКО</t>
  </si>
  <si>
    <t>Усть-Каменогорск</t>
  </si>
  <si>
    <t>ИП "ИНОТЕКС"</t>
  </si>
  <si>
    <t>090340007747/230087/00 [ДГЗ-87]</t>
  </si>
  <si>
    <t>Абайская область</t>
  </si>
  <si>
    <t>Семей</t>
  </si>
  <si>
    <t>Управление финансов области Абай №37661 от 04.08.2023</t>
  </si>
  <si>
    <t xml:space="preserve"> г.Алматы</t>
  </si>
  <si>
    <t>Алматы</t>
  </si>
  <si>
    <t xml:space="preserve"> Жамбылская область</t>
  </si>
  <si>
    <t>Тараз</t>
  </si>
  <si>
    <t xml:space="preserve">Управление финансов акимата Жамбылской области </t>
  </si>
  <si>
    <t>Западно-Казахтанская область</t>
  </si>
  <si>
    <t>Уральск</t>
  </si>
  <si>
    <t xml:space="preserve">ТОО "Батыс Инвест Капитал" </t>
  </si>
  <si>
    <t>090340007747/230008/00 [ДГЗ-7]</t>
  </si>
  <si>
    <t>ТОО "Ланцет"</t>
  </si>
  <si>
    <t>090340007747/230061/00 [ДГЗ-61]</t>
  </si>
  <si>
    <t xml:space="preserve"> Карагандинская область</t>
  </si>
  <si>
    <t>Караганда</t>
  </si>
  <si>
    <t>ТОО "БПИ-Астана"</t>
  </si>
  <si>
    <t>090340007747/230043/00 [ДГЗ-43]</t>
  </si>
  <si>
    <t>090340007747/230009/01 [ДГЗ-8]</t>
  </si>
  <si>
    <t>Улытауская область</t>
  </si>
  <si>
    <t>Жезказган</t>
  </si>
  <si>
    <t>ИП Шайдулина</t>
  </si>
  <si>
    <t>090340007747/230082/00 [ДГЗ-82]</t>
  </si>
  <si>
    <t xml:space="preserve"> Костанайская область</t>
  </si>
  <si>
    <t>Костанай</t>
  </si>
  <si>
    <t>ТОО "СТОФАРМ"</t>
  </si>
  <si>
    <t>090340007747/230004/00 [ДГЗ-3]</t>
  </si>
  <si>
    <t>090340007747/230038/00 [ДГЗ-38]</t>
  </si>
  <si>
    <t xml:space="preserve"> Кызылординская область</t>
  </si>
  <si>
    <t>Кызылорда</t>
  </si>
  <si>
    <t>Управление экономики и финансов кызылординской области</t>
  </si>
  <si>
    <t xml:space="preserve"> Мангистауская область</t>
  </si>
  <si>
    <t>Актау</t>
  </si>
  <si>
    <t xml:space="preserve">ГУ Управление здравоохранения мангистауской области </t>
  </si>
  <si>
    <t xml:space="preserve"> Павлодарская область</t>
  </si>
  <si>
    <t>Павлодар</t>
  </si>
  <si>
    <t>СКО</t>
  </si>
  <si>
    <t>Петропавловск</t>
  </si>
  <si>
    <t>КОММУНАЛЬНОЕ ГОСУДАРСТВЕННОЕ УЧРЕЖФИНАНСОВ АКИМАТА СЕВЕРО-КАЗАХСТАНСКОЙ ОБЛАСТИ"</t>
  </si>
  <si>
    <t>Туркестанская область</t>
  </si>
  <si>
    <t>Туркестан</t>
  </si>
  <si>
    <t>ТОО "Khanshaiym Otel"</t>
  </si>
  <si>
    <t>090340007747/230042/00 [ДГЗ-42]</t>
  </si>
  <si>
    <t>Шымкент</t>
  </si>
  <si>
    <t>ТОО "AIS SERVICE"</t>
  </si>
  <si>
    <t>090340007747/230012/01 [ДГЗ-12]</t>
  </si>
  <si>
    <t>ЕСЖАНОВА АЙНУР САУЫРБАЕВНА</t>
  </si>
  <si>
    <t>090340007747/230035/00 [ДГЗ-35]</t>
  </si>
  <si>
    <t>ИТОГО</t>
  </si>
  <si>
    <t xml:space="preserve"> </t>
  </si>
  <si>
    <t xml:space="preserve">По ГУ должны применять КОПФ 0,8 согласно Приказ Министра национальной экономики Республики Казахстан от 17 марта 2015 года № 212. </t>
  </si>
  <si>
    <t>Наименование</t>
  </si>
  <si>
    <t>Ежегодное уточнение, 2023 г.</t>
  </si>
  <si>
    <t>Уточнение в 1 пг 2023 года</t>
  </si>
  <si>
    <t>Отклонение, -/+</t>
  </si>
  <si>
    <t>Поставщик</t>
  </si>
  <si>
    <t>Договор</t>
  </si>
  <si>
    <t>Уточнение во 2 пг 2023 года</t>
  </si>
  <si>
    <t>18 приложение</t>
  </si>
  <si>
    <t>Кол-во</t>
  </si>
  <si>
    <t>Ед. изм.</t>
  </si>
  <si>
    <t>Цена</t>
  </si>
  <si>
    <t>цена с НДС</t>
  </si>
  <si>
    <t xml:space="preserve">Для ПР на 2023 с НДС </t>
  </si>
  <si>
    <t>Бумага А4</t>
  </si>
  <si>
    <t>Товарищество с ограниченной ответственностью "АКМур Дистрибьютор"</t>
  </si>
  <si>
    <t>090340007747/230068/00 [ДГЗ-68]</t>
  </si>
  <si>
    <t>Бумага А3</t>
  </si>
  <si>
    <t>DARIGA</t>
  </si>
  <si>
    <t>090340007747/230128/00 [ДГЗ-125]</t>
  </si>
  <si>
    <t>Карандаш простой</t>
  </si>
  <si>
    <t>ИП СТОМ ПЛЮС</t>
  </si>
  <si>
    <t>090340007747/230088/00 [ДГЗ-88]</t>
  </si>
  <si>
    <t xml:space="preserve">Ножницы </t>
  </si>
  <si>
    <t>ИП Болашак</t>
  </si>
  <si>
    <t>090340007747/230029/00 [ДГЗ-29]</t>
  </si>
  <si>
    <t>Корректор</t>
  </si>
  <si>
    <t>Скобы №10</t>
  </si>
  <si>
    <t>Папка регист А4 80мм</t>
  </si>
  <si>
    <t>ТОО "Constellation KZ"</t>
  </si>
  <si>
    <t>090340007747/230073/00 [ДГЗ-73]</t>
  </si>
  <si>
    <t>ОО "Вижу сердцем"</t>
  </si>
  <si>
    <t>090340007747/230129/00 [ДГЗ-126]</t>
  </si>
  <si>
    <t>Фотобумага глянцевая А4</t>
  </si>
  <si>
    <t>ИП "Алишев"</t>
  </si>
  <si>
    <t>090340007747/230054/00 [ДГЗ-54]</t>
  </si>
  <si>
    <t>Исключить</t>
  </si>
  <si>
    <t xml:space="preserve">Рамки </t>
  </si>
  <si>
    <t xml:space="preserve">Ручки канцелярские </t>
  </si>
  <si>
    <t>ИП Әмірбаева</t>
  </si>
  <si>
    <t>090340007747/230030/00 [ДГЗ-30]</t>
  </si>
  <si>
    <t>Пружины для переплета пластиковые 10 мм
до 60 листов цвет белый в упаковке 100 шт</t>
  </si>
  <si>
    <t>Пружины для переплета пластиковые 14 мм
до 120 листов цвет белый в упаковке 100 шт</t>
  </si>
  <si>
    <t>Пленка для ламинирования глянцевая А4</t>
  </si>
  <si>
    <t>Итого по канцелярским товарам</t>
  </si>
  <si>
    <t>Вода 0,5 пластиковая негазированная в пластиковой таре</t>
  </si>
  <si>
    <t>ТОО "Global Beverages"</t>
  </si>
  <si>
    <t>090340007747/230019/00 [ДГЗ-19]</t>
  </si>
  <si>
    <t>ИП Алиева</t>
  </si>
  <si>
    <t>090340007747/230111/00 [ДГЗ-108]</t>
  </si>
  <si>
    <t>ИП Табыс</t>
  </si>
  <si>
    <t>090340007747/230133/00 [ДГЗ-130]</t>
  </si>
  <si>
    <t>Фитолампа</t>
  </si>
  <si>
    <t>Итого по хозяйственным наждам</t>
  </si>
  <si>
    <t>Батарейки Camelion AAA</t>
  </si>
  <si>
    <t>шт.</t>
  </si>
  <si>
    <t>ТОО "Tleugali BK"</t>
  </si>
  <si>
    <t>090340007747/230051/00 [ДГЗ-51]</t>
  </si>
  <si>
    <t>Батарейки Camelion AA</t>
  </si>
  <si>
    <t>Фильтр сетевой</t>
  </si>
  <si>
    <t>ИП ІНЖУ</t>
  </si>
  <si>
    <t>090340007747/230081/00 [ДГЗ-81]</t>
  </si>
  <si>
    <t>Исключить УАКР от 03.11.2023</t>
  </si>
  <si>
    <t>Кабель сетевой SHIP D135-P Cat.5е UTP PVC</t>
  </si>
  <si>
    <t>метр</t>
  </si>
  <si>
    <t>ИП Nazima</t>
  </si>
  <si>
    <t>090340007747/230052/00 [ДГЗ-52]</t>
  </si>
  <si>
    <t>Коннекторы RJ-45</t>
  </si>
  <si>
    <t>ИП Miradj</t>
  </si>
  <si>
    <t>090340007747/230053/00 [ДГЗ-53]</t>
  </si>
  <si>
    <t>ИП,"ДОС и К"</t>
  </si>
  <si>
    <t>090340007747/230110/00 [ДГЗ-107]</t>
  </si>
  <si>
    <t>Флеш накопитель</t>
  </si>
  <si>
    <t>ИП ПОЛЬСКИХ В.Ю.</t>
  </si>
  <si>
    <t>090340007747/230026/00 [ДГЗ-26]</t>
  </si>
  <si>
    <t>Перенос на 2024 год</t>
  </si>
  <si>
    <t>Итого расходные материалы</t>
  </si>
  <si>
    <t>ИТОГО/ВСЕГО</t>
  </si>
  <si>
    <t>Итого услуги</t>
  </si>
  <si>
    <t>Цена с НДС</t>
  </si>
  <si>
    <t>Всего стоимость с НДС</t>
  </si>
  <si>
    <t>Сумма на 2 ое полугодие</t>
  </si>
  <si>
    <t>Амортизация</t>
  </si>
  <si>
    <t>Срок эксплуатации</t>
  </si>
  <si>
    <t>Пересчитать амортизацию</t>
  </si>
  <si>
    <t>Основные средства</t>
  </si>
  <si>
    <t>шт</t>
  </si>
  <si>
    <t>ИП Гальцова Анастасия Юрьевна</t>
  </si>
  <si>
    <t>090340007747/230109/00 [ДГЗ-106]</t>
  </si>
  <si>
    <t>ТОО "Inter Link"</t>
  </si>
  <si>
    <t>090340007747/230079/00 [ДГЗ-79]</t>
  </si>
  <si>
    <t>headway</t>
  </si>
  <si>
    <t>090340007747/230075/00 [ДГЗ-75]</t>
  </si>
  <si>
    <t>Шкаф металический (комплаенс)</t>
  </si>
  <si>
    <t>Товарищество с ограниченной ответственностью "STINGER TECH"</t>
  </si>
  <si>
    <t>090340007747/230092/00 [ДГЗ-92]</t>
  </si>
  <si>
    <t>Коммутатор 8 портов</t>
  </si>
  <si>
    <t>ТОО "PolyComm"</t>
  </si>
  <si>
    <t>090340007747/230080/00 [ДГЗ-80]</t>
  </si>
  <si>
    <t>перенос с 2022 года</t>
  </si>
  <si>
    <t>Принтер (Монохромный)</t>
  </si>
  <si>
    <t>ТОО "KazConsult inc."</t>
  </si>
  <si>
    <t>090340007747/230134/00 [ДГЗ-131]</t>
  </si>
  <si>
    <t>Моноблок</t>
  </si>
  <si>
    <t>Высокопроизводительный МФУ</t>
  </si>
  <si>
    <t>ТОО "Majestic Technologies"</t>
  </si>
  <si>
    <t>090340007747/230135/00 [ДГЗ-132]</t>
  </si>
  <si>
    <t>Уточнение в 1 пг. 2023 г.</t>
  </si>
  <si>
    <t>ИП Жетес</t>
  </si>
  <si>
    <t>090340007747/230126/00 [ДГЗ-123]</t>
  </si>
  <si>
    <t>ИП Адилов</t>
  </si>
  <si>
    <t>090340007747/230121/00 [ДГЗ-118]</t>
  </si>
  <si>
    <t>090340007747/230132/00 [ДГЗ-129]</t>
  </si>
  <si>
    <t>Итого ОС</t>
  </si>
  <si>
    <t>Приобретение нематериальных активов:</t>
  </si>
  <si>
    <t>Программный продукт Microsoft Exchange для 16 ядерного почтового сервера</t>
  </si>
  <si>
    <t>Программный продукт PRTG Network Monitor (система мониторинга ЛВС)</t>
  </si>
  <si>
    <t>ТОО "Alexis Company"</t>
  </si>
  <si>
    <t>090340007747/230077/00 [ДГЗ-77]</t>
  </si>
  <si>
    <t>Veeam Backup &amp; Replication Universal</t>
  </si>
  <si>
    <t>ТОО "InformConsulting"</t>
  </si>
  <si>
    <t>090340007747/230103/00 [ДГЗ-100]</t>
  </si>
  <si>
    <t>Автоматизированная система управления логистикой и складской инфраструктуры</t>
  </si>
  <si>
    <t>Работы по внедрению системы под ключ на базе приобретенного НМА</t>
  </si>
  <si>
    <t>Итого НМА</t>
  </si>
  <si>
    <t>Итого ОС и НМА</t>
  </si>
  <si>
    <t>Названия строк</t>
  </si>
  <si>
    <t>Сумма по полю Сумма</t>
  </si>
  <si>
    <t>Headway ИП
ДГЗ-75 от 26.05.2023 г.</t>
  </si>
  <si>
    <t>Inter Link ТОО 
ДГЗ-79 от 31.05.2023 г.</t>
  </si>
  <si>
    <t>KazConsult inc ТОО 
ДГЗ-131 от 17.10.2023 г.</t>
  </si>
  <si>
    <t>PolyComm ТОО 
ДГЗ-80 от 29.05.2023 г.</t>
  </si>
  <si>
    <t>STINGER TECH TOO
ДГЗ-92 от 01.07.2023</t>
  </si>
  <si>
    <t>Адилов ИП
ДГЗ-118 от 29.08.2023 г.</t>
  </si>
  <si>
    <t>Жетес ИП
ДГЗ-123 от 12.09.2023 г.</t>
  </si>
  <si>
    <t>ИП Гальцова Анастасия Юрьевна
ДГЗ-106 от 19.07.2023 г.</t>
  </si>
  <si>
    <t>Общий итог</t>
  </si>
  <si>
    <t>СК-Фармация ТОО</t>
  </si>
  <si>
    <t>Оборотно-сальдовая ведомость по счету 7200  за Январь 2023 г. - Август 2023 г.</t>
  </si>
  <si>
    <t>Выводимые данные:</t>
  </si>
  <si>
    <t>Счет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</si>
  <si>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</si>
  <si>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</si>
  <si>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</si>
  <si>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</si>
  <si>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</si>
  <si>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</si>
  <si>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</si>
  <si>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</si>
  <si>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Обороты за период</t>
  </si>
  <si>
    <t>Сальдо на конец периода</t>
  </si>
  <si>
    <t>Статьи затрат</t>
  </si>
  <si>
    <t>Дебет</t>
  </si>
  <si>
    <t xml:space="preserve">Сентябрь </t>
  </si>
  <si>
    <t>Октябрь</t>
  </si>
  <si>
    <t>Ноябрь</t>
  </si>
  <si>
    <t>Декабрь</t>
  </si>
  <si>
    <t>ДАННЫЕ УБУО за 8 мес в тыс тенге</t>
  </si>
  <si>
    <t>Кредит</t>
  </si>
  <si>
    <t>7200</t>
  </si>
  <si>
    <t>&lt;...&gt;</t>
  </si>
  <si>
    <t>1.1.1.  Фонд заработной платы</t>
  </si>
  <si>
    <t>1.1.13. Премия к дню Конституции</t>
  </si>
  <si>
    <t>1.1.2. Премия по итогам работы за квартал</t>
  </si>
  <si>
    <t>1.1.3.  Матпомощь к отпуску</t>
  </si>
  <si>
    <t>1.1.4  Резерв на отпуск</t>
  </si>
  <si>
    <t>1.1.6. Премия к дню медика</t>
  </si>
  <si>
    <t>1.1.7. Премия к дню Наурыз</t>
  </si>
  <si>
    <t xml:space="preserve">1.1.8  Резерв возн членам Правления </t>
  </si>
  <si>
    <t xml:space="preserve">1.1.9  Резерв премии рев комиссии </t>
  </si>
  <si>
    <t>2.1.10.2.1 Услуги доступа в Интернет</t>
  </si>
  <si>
    <t>Казахтелеком АО
ДГЗ-32 от 15.02.2022</t>
  </si>
  <si>
    <t>Казахтелеком АО
ДГЗ-15 от 20.01.2023 (услуги интернета )</t>
  </si>
  <si>
    <t>2.1.10.2.11 Услуги по аренде телекоммуник оборудования</t>
  </si>
  <si>
    <t>Казахтелеком АО
ДГЗ-36 от 24.02.2022 (аренда оборуд и услуги связи )</t>
  </si>
  <si>
    <t>Казахтелеком АО
ДГЗ-34 от 27.02.2023 (аренда телек оборудования)</t>
  </si>
  <si>
    <t>2.1.10.2.11 Услуги справочных служб (контакт-центр)</t>
  </si>
  <si>
    <t>BP Contact ТОО 
ДГЗ-20 от 18.02.2022 г.</t>
  </si>
  <si>
    <t>BP Contact ТОО 
ДГЗ-24 от 08.02.2023 г.</t>
  </si>
  <si>
    <t>2.1.10.2.2. Услуги междугородней связи</t>
  </si>
  <si>
    <t>Казахтелеком АО
ДГЗ-16 от 20.01.2023 (услуги связи )</t>
  </si>
  <si>
    <t>2.1.10.2.3 Почтовые расходы</t>
  </si>
  <si>
    <t>Товарищество с ограниченной ответственностью ""KZQSD""
ДГЗ-48 от 15.03.2022</t>
  </si>
  <si>
    <t>Астанинский филиал АО ""Казпочта""
ДГЗ-31 от 17.02.2023г.</t>
  </si>
  <si>
    <t>2.1.10.2.9 Услуги связи аренды IP VPN каналов</t>
  </si>
  <si>
    <t>Казахтелеком АО
ДГЗ-55 от 20.03.2023 (аренда VPN)</t>
  </si>
  <si>
    <t xml:space="preserve">2.1.11. Расходы на подготовку и повыш. квалиф. АУП </t>
  </si>
  <si>
    <t>Головное подразделение
Diamond Education ИП
ДГЗ-102 от 12.07.2023г.</t>
  </si>
  <si>
    <t>Головное подразделение
Language Focus Academy
ДГЗ-21 от 06.02.2023 г.</t>
  </si>
  <si>
    <t>Головное подразделение
Айтилект ТОО 
ДГЗ-78 от 17.05.2023</t>
  </si>
  <si>
    <t>Головное подразделение
Айтилект ТОО 
ДГЗ-84 от 19.06.2023</t>
  </si>
  <si>
    <t>Головное подразделение
Академия бизнеса "Іскер" ТОО 
ДГЗ-71 от 26.04.2023 г</t>
  </si>
  <si>
    <t>Головное подразделение
Орта-Инвест ТОО
ДГЗ-105 от 18.07.2023г.</t>
  </si>
  <si>
    <t>Головное подразделение
Орта-Инвест ТОО
ДГЗ-111 от 27.07.2023г.</t>
  </si>
  <si>
    <t>Головное подразделение
Учебный центр Зерде ТОО 
ДГЗ-59 от 04.04.2023 г.</t>
  </si>
  <si>
    <t>Головное подразделение
Учебный центр Зерде ТОО 
ДГЗ-97 от 11.07.2023 г.</t>
  </si>
  <si>
    <t>Головное подразделение
Учебный центр Зерде ТОО 
ДГЗ-99 от 11.07.2023 г.</t>
  </si>
  <si>
    <t>Головное подразделение
Центр "Зерде" ТОО
№ДГЗ-85 от 12.06.2023 г.</t>
  </si>
  <si>
    <t>2.1.13.1 Банковские услуги</t>
  </si>
  <si>
    <t>2.1.14.1 Расходы по аренде офиса</t>
  </si>
  <si>
    <t>Nursaya Deluxe ТОО
ДГЗ-1 от 30.12.22 г.</t>
  </si>
  <si>
    <t>Nursaya Deluxe ТОО
ДГЗ-2 от 30.12.22 г.</t>
  </si>
  <si>
    <t>2.1.14.1 Услуги по аутсорсингу персонала (Предоставление услуг  Service Desk)</t>
  </si>
  <si>
    <t>Smart2020 ТОО 
ДГЗ-28 от 13.02.2023</t>
  </si>
  <si>
    <t>2.1.15.2 Страхование ответсвенности работодателя</t>
  </si>
  <si>
    <t>2.1.16.2 Единовременная мат.помощь</t>
  </si>
  <si>
    <t xml:space="preserve">2.1.18.1 Канцелярские расходы </t>
  </si>
  <si>
    <t>2.1.18.1 типографические товары (бланки писем и приказов)</t>
  </si>
  <si>
    <t>СПИСАНИЕ БЛАНКОВ КУДА ПОСАДИТЬ</t>
  </si>
  <si>
    <t>2.1.18.1 хоз.товары</t>
  </si>
  <si>
    <t>2.1.18.1.1 Списание материалов</t>
  </si>
  <si>
    <t>2.1.18.1.1 Списание материалов не идущ на вычет</t>
  </si>
  <si>
    <t>2.1.18.11 Услуги по предоставлению в пользование бухг.портала "Учет.кз"</t>
  </si>
  <si>
    <t>2.1.18.13 Услуги по предоставлению доменного имени</t>
  </si>
  <si>
    <t>Мегахост Казахстан ТОО
ДГЗ-86 от 16.06.2023 г.</t>
  </si>
  <si>
    <t>2.1.18.2 Расходы по изготовлению типографской, полиграфической продукции</t>
  </si>
  <si>
    <t>ЗДЕСЬ ЕЩЕ ПЕЧАТИ СИДЯТ ОНИ ОТДЕЛЬНО ДОЛЖНЫ БЫТЬ</t>
  </si>
  <si>
    <t>Ассоциация работающих инвалидов города Астаны ТОО 
ДГЗ-44 от 28.02.2023"</t>
  </si>
  <si>
    <t>Жарқын Ко ТОО
ДГЗ-90 от 26.06.2023 г."</t>
  </si>
  <si>
    <t>Жарқын Ко ТОО
ДГЗ-91 от 27.06.2023 г."</t>
  </si>
  <si>
    <t>Современные печатные технологии ТОО
ДГЗ-89 от 04.07.2023г."</t>
  </si>
  <si>
    <t xml:space="preserve">2.1.18.7.2 Подписка на справочно-информационные системы </t>
  </si>
  <si>
    <t>RayTan ТОО
ДГЗ-17 от 21.01.2023</t>
  </si>
  <si>
    <t>2.1.19.12 Сопровождение и поддержка веб-сайта</t>
  </si>
  <si>
    <t>ТОО ""MAXIOMA""
ДГЗ-33 от 14 февраля  2022 года</t>
  </si>
  <si>
    <t>ТОО ""MAXIOMA""
ДГЗ-47 от 28.02.2023 года"</t>
  </si>
  <si>
    <t>2.1.19.3 Нотариальные услуги</t>
  </si>
  <si>
    <t>2.1.20 услуги переводчика (ГПХ)</t>
  </si>
  <si>
    <t xml:space="preserve">2.1.23 SSL Сертификат для Skype for Business    </t>
  </si>
  <si>
    <t>2.1.23 Лицензия на Антивирус спам фильтр Касперский</t>
  </si>
  <si>
    <t>2.1.23 Лицензия на программное обеспечение для среды разработки Java</t>
  </si>
  <si>
    <t>2.1.23 Лицензия на программное обеспечение на онлайн оператора ИС ЕД</t>
  </si>
  <si>
    <t>2.1.23 Лицензия на продление действия технической поддержки ПО Oracle</t>
  </si>
  <si>
    <t>2.1.23 Подписка на ИТС 1С Предприятие версия ПРОФ</t>
  </si>
  <si>
    <t xml:space="preserve">2.1.23 программное обеспечение "Code Signing-сертификат </t>
  </si>
  <si>
    <t>2.1.23 программное обеспечение "SSL-сертификат для веб-портала Efis,kz"</t>
  </si>
  <si>
    <t>2.1.23 программное обеспечение "SSL-сертификат разработчик"</t>
  </si>
  <si>
    <t>2.1.23 Продление лицензии для обновления сигнатур и межсет экр Fortigate</t>
  </si>
  <si>
    <t>2.1.25 Услуги по замене фильтрующих модулей</t>
  </si>
  <si>
    <t>Мурагер ИП
ДГЗ-113 от 03.08.2023г.</t>
  </si>
  <si>
    <t>2.1.26 Услуги полиграфические по изготовлению/печатанию полиграфической продукции</t>
  </si>
  <si>
    <t>В полиграфии</t>
  </si>
  <si>
    <t>Развитие предпринимательства ОО
ДГЗ-74 от 16.05.2023 г.</t>
  </si>
  <si>
    <t xml:space="preserve">2.1.28 Вознаграждение членам совета </t>
  </si>
  <si>
    <t>2.1.3.1. Амортизация основных средств</t>
  </si>
  <si>
    <t>2.1.3.2. Амортизация нематериальных активов</t>
  </si>
  <si>
    <t>2.1.31 Услуги по пользованию информационной системой электронных закупок</t>
  </si>
  <si>
    <t>АО ""Центр электронных финансов""
ДГЗ-56 от 28.03.2023</t>
  </si>
  <si>
    <t>2.1.32 Лицензия на программное обеспечение ZOOM</t>
  </si>
  <si>
    <t>2.1.33 Лицензия на программное обеспечение ПО Falcongaze Secure Tower</t>
  </si>
  <si>
    <t>2.1.34 Лицензия на ИС Micro focus "ArcSight ESM"</t>
  </si>
  <si>
    <t>2.1.4.1 Услуги предоставления хостинговой площадки для корпоративного информационного веб-ресурса</t>
  </si>
  <si>
    <t>Компания Hoster. KZ ТОО 
ДГЗ-10 от 10.01.2023</t>
  </si>
  <si>
    <t>2.1.4.3 Сопровождение программного обеспечения 1С Бухгалтерия</t>
  </si>
  <si>
    <t>ТОО ""1 С: Франчайзинг Караганда""
ДГЗ-60 от 13.04.2022</t>
  </si>
  <si>
    <t>Технологии Вашего Бизнеса ТОО
ДГЗ-83 от 06.06.2023 г.</t>
  </si>
  <si>
    <t xml:space="preserve">2.1.4.3 Услуги по пользованию программными продуктами, находящимся в удаленном доступе </t>
  </si>
  <si>
    <t xml:space="preserve"> Documentolog Global Limited частная компания
ДГЗ-24 от 22.02.2022 г</t>
  </si>
  <si>
    <t>Documentolog ТОО
ДГЗ-46 от 28.02.2023г.</t>
  </si>
  <si>
    <t>2.1.4.4 Техобслуживание и ремонт машин и оборудования офисных</t>
  </si>
  <si>
    <t>MAJESTIC TECHNOLOGIES ТОО
ДГЗ-39 от 25.02.2022</t>
  </si>
  <si>
    <t>MAJESTIC TECHNOLOGIES ТОО
ДГЗ-70 от 20.04.2023</t>
  </si>
  <si>
    <t>2.1.7.1.5 Последовательный перевод с китайского, корейского, английского и турецкого языков на русск</t>
  </si>
  <si>
    <t>STROY N ТОО
ДГЗ-40 от 10.03.2023 г</t>
  </si>
  <si>
    <t>2.1.8.1.2. Аренда легкового автомобиля</t>
  </si>
  <si>
    <t>ASL ИП
ДГЗ-45 от 11.03.2022</t>
  </si>
  <si>
    <t>IRIS WEAR ИП (ИП Акылжан)
ДГЗ-27 от 11.02.2023</t>
  </si>
  <si>
    <t>2.1.9.3  сборы</t>
  </si>
  <si>
    <t>2.1.9.4 Гос. пошлины</t>
  </si>
  <si>
    <t>амортизация права аренды</t>
  </si>
  <si>
    <t>Аудиторские услуги</t>
  </si>
  <si>
    <t>Star Audit ТОО
ДГЗ-72 от 25.04.2023 г.</t>
  </si>
  <si>
    <t>Виза</t>
  </si>
  <si>
    <t>Госпошлины</t>
  </si>
  <si>
    <t>Лицензия право использования программного обеспечения (ПО KAV)</t>
  </si>
  <si>
    <t>Отчисления ОСМС</t>
  </si>
  <si>
    <t>Пеня по договорам</t>
  </si>
  <si>
    <t>Пеня по ОСМС</t>
  </si>
  <si>
    <t>Пеня по СО</t>
  </si>
  <si>
    <t xml:space="preserve">Плата за обеспечение бесперебойного доступа к данным Депозитария финансовой отчетности </t>
  </si>
  <si>
    <t>AO ""Информационно-учетный центр""
Пользовательское согл. о правах использ. интернет-ресурса Dfo.kz от 25.08.21 №1</t>
  </si>
  <si>
    <t>Расходы за наем жилого помещения</t>
  </si>
  <si>
    <t>Расходы за наем жилого помещения за пределами</t>
  </si>
  <si>
    <t>Расходы на закуп услуги по правовому анализу документов на предмет наличия либо отсутствия обстоятел</t>
  </si>
  <si>
    <t>Внешнеторговая палата Казахстана ТОО
№658-2021 от 22.12.2021</t>
  </si>
  <si>
    <t>Расходы на проезд</t>
  </si>
  <si>
    <t>Расходы на проезд за пределами</t>
  </si>
  <si>
    <t>Расходы на услуги частного судебного исполнителя</t>
  </si>
  <si>
    <t>Резерв премии комплаенс офицер</t>
  </si>
  <si>
    <t>Социальные отчисления</t>
  </si>
  <si>
    <t>Социальный налог</t>
  </si>
  <si>
    <t>Суточные в пределах РК</t>
  </si>
  <si>
    <t>Суточные за пределами РК</t>
  </si>
  <si>
    <t>Головное подразделение
Wisk Telecom Solutions ТОО
ДГЗ-22 от 06.02.2023 г.</t>
  </si>
  <si>
    <t>Услуги в области защиты госуд секретов</t>
  </si>
  <si>
    <t>Услуги по предоставлению лицензии на право использов ресурсов сферы информац технолог</t>
  </si>
  <si>
    <t>"Головное подразделение
Казтелепорт АО - дочерняя организация Народного Банка Казахстана
ДГЗ-103 от 17.07.2023г."</t>
  </si>
  <si>
    <t>Услуги по приему входящих звонков(Call-Centre)</t>
  </si>
  <si>
    <t>Итого</t>
  </si>
  <si>
    <t>Оборотно-сальдовая ведомость по счету 7100  за Январь 2023 г. - Август 2023 г.</t>
  </si>
  <si>
    <t>7100</t>
  </si>
  <si>
    <t>2.1.1.16. Списание товаров по истечению срока годности</t>
  </si>
  <si>
    <t>2.1.1.3. Услуги по сертификации ЛС</t>
  </si>
  <si>
    <t>2.1.1.5. Списание образцов по истечению срока годности</t>
  </si>
  <si>
    <t>2.1.14.3 Расходы по аренде офиса (территориальный подразделения, не вкл. г. Астаны)</t>
  </si>
  <si>
    <t>Общественное объединение "Вижу сердцем"
ДГЗ-50</t>
  </si>
  <si>
    <t>3.17.9. Услуги по утилизации продукции</t>
  </si>
  <si>
    <t xml:space="preserve">6.1. Услуги по приемке и хранению лекарственных средств </t>
  </si>
  <si>
    <t>Расходы ЛС бой, брак</t>
  </si>
  <si>
    <t>Расходы будущих периодов</t>
  </si>
  <si>
    <t>Сальдо на начало периода</t>
  </si>
  <si>
    <t>Сальдо на 300923</t>
  </si>
  <si>
    <t>Контрагент</t>
  </si>
  <si>
    <t>НМА прошлых периодов (одной суммой)</t>
  </si>
  <si>
    <t>Количество месяцев</t>
  </si>
  <si>
    <t>на 1 месяц</t>
  </si>
  <si>
    <t>Плюс 3 месяца</t>
  </si>
  <si>
    <t>проверка списания</t>
  </si>
  <si>
    <t>Итого в ПР_ уточн в 2 пг ( по статьям)</t>
  </si>
  <si>
    <t>Сальдо на 31.12.2023</t>
  </si>
  <si>
    <t>Компания Hoster. KZ ТОО 
ДГЗ-23 от 06.02.2023</t>
  </si>
  <si>
    <t xml:space="preserve">Code Signinf  сертификат </t>
  </si>
  <si>
    <t>Kaspersky Security for Mail Server Kazakhstan Edition</t>
  </si>
  <si>
    <t>ТОО "ЛИМБ 2"</t>
  </si>
  <si>
    <t>Oracle Data base Standart Edition (1.2) 2022-2023год</t>
  </si>
  <si>
    <t>Oracle Data base Standart Edition (1.2) 2023-2024год</t>
  </si>
  <si>
    <t>ТОО "Business Applications Solutions"</t>
  </si>
  <si>
    <t>SSL сертификат разработчика</t>
  </si>
  <si>
    <t>ГПО работодателя  за период с 01.03.2022 по 28.02.2023</t>
  </si>
  <si>
    <t xml:space="preserve"> Компания по страхованию жизни Freedom Finance Life АО
ДГЗ-33 от 23.02.2022 г</t>
  </si>
  <si>
    <t>ИС Micro focus "ArcSight ESM"</t>
  </si>
  <si>
    <t>ТОО "Информейшн Системс Секьюрити Партнерс"</t>
  </si>
  <si>
    <t>Лицензия на программное обеспечение для среды разработки Java</t>
  </si>
  <si>
    <t>ТОО "BITCOM Software" ДГЗ-114</t>
  </si>
  <si>
    <t>Лицензия на программное обеспечение на онлайин оператора ИС ЕД</t>
  </si>
  <si>
    <t xml:space="preserve">ПО межсетевых защитных экранов FortiGate </t>
  </si>
  <si>
    <t>Продление Лицензии ZOOM</t>
  </si>
  <si>
    <t>МАХМЕТОВ ДАНИЯР НУРЛАНОВИЧ</t>
  </si>
  <si>
    <t>Продление Лицензии ПО Falcongaze Secure Tower</t>
  </si>
  <si>
    <t>ТОО  "ALG Innovations"</t>
  </si>
  <si>
    <t>Продление подписки на информационно-технологическое сопровождение (ИТС) 1С</t>
  </si>
  <si>
    <t>ТОО "Диалог-Центр"</t>
  </si>
  <si>
    <t xml:space="preserve">Услуги по подписке на информ ленты (доступ на сайтУчет KZ) </t>
  </si>
  <si>
    <t>ТОО  "The Boss media group"</t>
  </si>
  <si>
    <t>на 3 года</t>
  </si>
  <si>
    <t>План  повышения квалификации работников ТОО "СК-Фармация" на 2023 год</t>
  </si>
  <si>
    <t>Структурное подразделение</t>
  </si>
  <si>
    <t>Планируемая тема обучения</t>
  </si>
  <si>
    <t>Ежегодное уточнение 2023 г.</t>
  </si>
  <si>
    <t>Уточнение в 1 пг, 2023 г.</t>
  </si>
  <si>
    <t>Уточнение во 2 пг, 2023 г.</t>
  </si>
  <si>
    <t>Исполнитель</t>
  </si>
  <si>
    <t>Сумма Договора</t>
  </si>
  <si>
    <t>Счет 7110</t>
  </si>
  <si>
    <t>Счет 7210</t>
  </si>
  <si>
    <t>Количество участников</t>
  </si>
  <si>
    <t>Стоимость на                1  человека, тенге</t>
  </si>
  <si>
    <t>Итого, тенге (с учетом НДС)</t>
  </si>
  <si>
    <t>Стоимость  на                1  человека, тенге</t>
  </si>
  <si>
    <t>Административно-управленческий персонал</t>
  </si>
  <si>
    <t>Английский язык</t>
  </si>
  <si>
    <t>Language Focus Academy</t>
  </si>
  <si>
    <t>090340007747/230021/00 [ДГЗ-21]</t>
  </si>
  <si>
    <t>Казахский язык</t>
  </si>
  <si>
    <t>ТОО "Учебный центр "Зерде"</t>
  </si>
  <si>
    <t>090340007747/230102/00 [ДГЗ-99]</t>
  </si>
  <si>
    <t>Тайм менеджмент</t>
  </si>
  <si>
    <t xml:space="preserve">Трудовые споры. Обучение членов согласительной комиссии по
применению трудового законодательства Республики Казахстан и умению вести переговоры и достижению консенсуса в трудовых спорах
</t>
  </si>
  <si>
    <t>Повышение эфективности корпоротивного управления, риск менеджмента и внутреннего контроля</t>
  </si>
  <si>
    <t>Персонал, связанный с процессом реализации и транспортивки</t>
  </si>
  <si>
    <t xml:space="preserve">Трудовые споры.Обучение членов согласительной комиссии по
применению трудового законодательства Республики Казахстан и умению вести переговоры и достижению консенсуса в трудовых спорах
</t>
  </si>
  <si>
    <t>УЛиСИ</t>
  </si>
  <si>
    <t xml:space="preserve">Incotermc и логистика </t>
  </si>
  <si>
    <t>ТОО "PROFIL-KZ"</t>
  </si>
  <si>
    <t>090340007747/230123/00 [ДГЗ-120]</t>
  </si>
  <si>
    <t>Логистический менеджмент</t>
  </si>
  <si>
    <t>Таможенное декларирование</t>
  </si>
  <si>
    <t>Пресс-служба</t>
  </si>
  <si>
    <t>Управление кризис - коммуникациями</t>
  </si>
  <si>
    <t>Эффективные инструменты продвижения контента для социальных сетей</t>
  </si>
  <si>
    <t>Ревизионная комиссия</t>
  </si>
  <si>
    <t>"Профессиональный Внутренний Аудитор" (1 уровень)</t>
  </si>
  <si>
    <t>"Профессиональный Внутренний Аудитор" (2 уровень)</t>
  </si>
  <si>
    <t>Операции и расчеты по договорам в валюте и в условных единицах: как организовать бухгалтерский и налоговый учёт</t>
  </si>
  <si>
    <t>Управленческий учёт. Бюджетирование и контроль</t>
  </si>
  <si>
    <t>Финансовое моделирование с использованием MS Excel</t>
  </si>
  <si>
    <t>Изменеия и дополнения в налоговом законодательстве РК и МСФО</t>
  </si>
  <si>
    <t>Углубленный курс MS Excel и основы анализа данных</t>
  </si>
  <si>
    <t>СпРИТ</t>
  </si>
  <si>
    <t>Введение в администрирование PostgreSQ</t>
  </si>
  <si>
    <t>ТОО "Айтилект"</t>
  </si>
  <si>
    <t>090340007747/230084/00 [ДГЗ-84]</t>
  </si>
  <si>
    <t>Java и базы данных PostgreSQL, Oracle. Разработка клиент-серверных приложений</t>
  </si>
  <si>
    <t>090340007747/230115/00 [ДГЗ-112]</t>
  </si>
  <si>
    <t>Новые особенности Oracle 12c для разработчиков SQL запросов и PL/SQL модулей</t>
  </si>
  <si>
    <t>090340007747/230119/00 [ДГЗ-116]</t>
  </si>
  <si>
    <t xml:space="preserve">Контакт-центр </t>
  </si>
  <si>
    <t>Критическое мышление, умение анализировать и принимать решения</t>
  </si>
  <si>
    <t>ТОО Академия бизнеса "Іскер"</t>
  </si>
  <si>
    <t>090340007747/230071/00 [ДГЗ-71]</t>
  </si>
  <si>
    <t>Ведения переговоров и урегулирование конфликтов</t>
  </si>
  <si>
    <t>Эффективные коммуникации</t>
  </si>
  <si>
    <t>ТОО "ek-business"</t>
  </si>
  <si>
    <t>090340007747/230130/00 [ДГЗ-127]</t>
  </si>
  <si>
    <t xml:space="preserve">Служба безопасности </t>
  </si>
  <si>
    <t>Управление рисками информационной безопасности ISO 27005.</t>
  </si>
  <si>
    <t>090340007747/230078/00 [ДГЗ-78]</t>
  </si>
  <si>
    <t>УБУО</t>
  </si>
  <si>
    <t>Сертификат "Налоговый консультант РК I-ой категории"</t>
  </si>
  <si>
    <t>090340007747/230101/00 [ДГЗ-97]</t>
  </si>
  <si>
    <t>УЭФМ</t>
  </si>
  <si>
    <t xml:space="preserve">Профессиональный финансовый менеджер </t>
  </si>
  <si>
    <t>090340007747/230059/00 [ДГЗ-59]</t>
  </si>
  <si>
    <t xml:space="preserve">Управление закупок </t>
  </si>
  <si>
    <t>«Закон и Правила о государственных закупках, с изменениями на 2023 год»</t>
  </si>
  <si>
    <t>УОМТ</t>
  </si>
  <si>
    <t>«СТ РК ISO 15189-2015. Лаборатории медицинские. Требования к качеству и компетентности. Внутренний аудит»</t>
  </si>
  <si>
    <t>«Метрологическое обеспечение здравоохранения и медицины»</t>
  </si>
  <si>
    <t>СпЗГСиМР</t>
  </si>
  <si>
    <t xml:space="preserve">Мобилизационная подготовка и мобилизация </t>
  </si>
  <si>
    <t>УПО</t>
  </si>
  <si>
    <t>Договорное право: сделки и договоры, отдельные моменты</t>
  </si>
  <si>
    <t>Diamond Education</t>
  </si>
  <si>
    <t>090340007747/230105/00 [ДГЗ-102]</t>
  </si>
  <si>
    <t>Эффективное ведение судебных споров: актуальные вопросы применения процессуального законодательства</t>
  </si>
  <si>
    <t>Товарищество с ограниченной ответственностью "ТОО "Орта-Инвест""</t>
  </si>
  <si>
    <t>090340007747/230108/00 [ДГЗ-105]</t>
  </si>
  <si>
    <t>Обзор налогового законодательства. Краткий курс налогооблажения в Казахстане</t>
  </si>
  <si>
    <t>090340007747/230114/00 [ДГЗ-111]</t>
  </si>
  <si>
    <t xml:space="preserve">Административный процедурно-процессуальный Кодекс Республики Казахстан. Актуальные изменения в гражданско – процессуальном Кодексе Республики Казахстан </t>
  </si>
  <si>
    <t>"Центр "Зерде"</t>
  </si>
  <si>
    <t>090340007747/230085/00 [ДГЗ-85]</t>
  </si>
  <si>
    <t>Корпоративное управление: правовые и организационные вопросы</t>
  </si>
  <si>
    <t>ОУП</t>
  </si>
  <si>
    <t>Кадровый резерв и управление талантами</t>
  </si>
  <si>
    <t>Развивающая обратная связь в управлении эффективностью сотрудников</t>
  </si>
  <si>
    <t>«HR Management: Управление персоналом. Развитие людей в организации»</t>
  </si>
  <si>
    <t>Услуга за определение кадастрового номера земельных участков в городах</t>
  </si>
  <si>
    <t>Сумма в тенге</t>
  </si>
  <si>
    <t>Сумма без НДС</t>
  </si>
  <si>
    <t>Акмолинская область</t>
  </si>
  <si>
    <t>Мангистауская область</t>
  </si>
  <si>
    <t>итого</t>
  </si>
  <si>
    <t>СЗ-6492</t>
  </si>
  <si>
    <t>12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</si>
</sst>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00"/>
    <numFmt numFmtId="167" formatCode="00"/>
    <numFmt numFmtId="168" formatCode="0.0"/>
    <numFmt numFmtId="169" formatCode="#,##0.0"/>
    <numFmt numFmtId="170" formatCode="#,##0.00_ ;[Red]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0"/>
      <name val="Helv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rgb="FF333333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FF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color indexed="21"/>
      <name val="Arial"/>
      <family val="2"/>
      <charset val="204"/>
    </font>
    <font>
      <sz val="9"/>
      <color rgb="FF0070C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010101"/>
      <name val="Calibri"/>
      <family val="2"/>
      <charset val="204"/>
    </font>
    <font>
      <b/>
      <i/>
      <sz val="12"/>
      <color rgb="FFFF000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7F4F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7EF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fgColor rgb="FFBCDFEA"/>
        <bgColor rgb="FFBCDFEA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1" fontId="3" fillId="0" borderId="0">
      <alignment horizontal="center" vertical="top" wrapText="1"/>
    </xf>
    <xf numFmtId="167" fontId="3" fillId="0" borderId="1">
      <alignment horizontal="center" vertical="top" wrapText="1"/>
    </xf>
    <xf numFmtId="166" fontId="3" fillId="0" borderId="1">
      <alignment horizontal="center" vertical="top" wrapText="1"/>
    </xf>
    <xf numFmtId="166" fontId="3" fillId="0" borderId="1">
      <alignment horizontal="center" vertical="top" wrapText="1"/>
    </xf>
    <xf numFmtId="166" fontId="3" fillId="0" borderId="1">
      <alignment horizontal="center" vertical="top" wrapText="1"/>
    </xf>
    <xf numFmtId="1" fontId="3" fillId="0" borderId="0">
      <alignment horizontal="center" vertical="top" wrapText="1"/>
    </xf>
    <xf numFmtId="167" fontId="3" fillId="0" borderId="0">
      <alignment horizontal="center" vertical="top" wrapText="1"/>
    </xf>
    <xf numFmtId="166" fontId="3" fillId="0" borderId="0">
      <alignment horizontal="center" vertical="top" wrapText="1"/>
    </xf>
    <xf numFmtId="166" fontId="3" fillId="0" borderId="0">
      <alignment horizontal="center" vertical="top" wrapText="1"/>
    </xf>
    <xf numFmtId="166" fontId="3" fillId="0" borderId="0">
      <alignment horizontal="center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1">
      <alignment horizontal="left" vertical="top"/>
    </xf>
    <xf numFmtId="0" fontId="3" fillId="0" borderId="2">
      <alignment horizontal="center" vertical="top" wrapText="1"/>
    </xf>
    <xf numFmtId="0" fontId="3" fillId="0" borderId="0">
      <alignment horizontal="left" vertical="top"/>
    </xf>
    <xf numFmtId="0" fontId="3" fillId="0" borderId="3">
      <alignment horizontal="left" vertical="top"/>
    </xf>
    <xf numFmtId="0" fontId="7" fillId="2" borderId="1">
      <alignment horizontal="left" vertical="top" wrapText="1"/>
    </xf>
    <xf numFmtId="0" fontId="7" fillId="2" borderId="1">
      <alignment horizontal="left" vertical="top" wrapText="1"/>
    </xf>
    <xf numFmtId="0" fontId="4" fillId="0" borderId="1">
      <alignment horizontal="left" vertical="top" wrapText="1"/>
    </xf>
    <xf numFmtId="0" fontId="3" fillId="0" borderId="1">
      <alignment horizontal="left" vertical="top" wrapText="1"/>
    </xf>
    <xf numFmtId="0" fontId="8" fillId="0" borderId="1">
      <alignment horizontal="left" vertical="top" wrapText="1"/>
    </xf>
    <xf numFmtId="0" fontId="9" fillId="0" borderId="0"/>
    <xf numFmtId="0" fontId="12" fillId="0" borderId="0"/>
    <xf numFmtId="0" fontId="2" fillId="0" borderId="0"/>
    <xf numFmtId="0" fontId="11" fillId="0" borderId="0"/>
    <xf numFmtId="0" fontId="5" fillId="0" borderId="0">
      <alignment horizontal="center" vertical="top"/>
    </xf>
    <xf numFmtId="0" fontId="3" fillId="0" borderId="4">
      <alignment horizontal="center" textRotation="90" wrapText="1"/>
    </xf>
    <xf numFmtId="0" fontId="3" fillId="0" borderId="4">
      <alignment horizontal="center" vertical="center" wrapText="1"/>
    </xf>
    <xf numFmtId="1" fontId="6" fillId="0" borderId="0">
      <alignment horizontal="center" vertical="top" wrapText="1"/>
    </xf>
    <xf numFmtId="167" fontId="6" fillId="0" borderId="1">
      <alignment horizontal="center" vertical="top" wrapText="1"/>
    </xf>
    <xf numFmtId="166" fontId="6" fillId="0" borderId="1">
      <alignment horizontal="center" vertical="top" wrapText="1"/>
    </xf>
    <xf numFmtId="166" fontId="6" fillId="0" borderId="1">
      <alignment horizontal="center" vertical="top" wrapText="1"/>
    </xf>
    <xf numFmtId="166" fontId="6" fillId="0" borderId="1">
      <alignment horizontal="center" vertical="top" wrapText="1"/>
    </xf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17" applyNumberFormat="0" applyAlignment="0" applyProtection="0"/>
    <xf numFmtId="0" fontId="25" fillId="7" borderId="18" applyNumberFormat="0" applyAlignment="0" applyProtection="0"/>
    <xf numFmtId="0" fontId="26" fillId="7" borderId="17" applyNumberFormat="0" applyAlignment="0" applyProtection="0"/>
    <xf numFmtId="0" fontId="27" fillId="0" borderId="19" applyNumberFormat="0" applyFill="0" applyAlignment="0" applyProtection="0"/>
    <xf numFmtId="0" fontId="28" fillId="8" borderId="20" applyNumberFormat="0" applyAlignment="0" applyProtection="0"/>
    <xf numFmtId="0" fontId="29" fillId="0" borderId="0" applyNumberFormat="0" applyFill="0" applyBorder="0" applyAlignment="0" applyProtection="0"/>
    <xf numFmtId="0" fontId="1" fillId="9" borderId="2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33" fillId="0" borderId="0"/>
    <xf numFmtId="0" fontId="34" fillId="0" borderId="0"/>
    <xf numFmtId="165" fontId="1" fillId="0" borderId="0" applyFont="0" applyFill="0" applyBorder="0" applyAlignment="0" applyProtection="0"/>
    <xf numFmtId="0" fontId="36" fillId="0" borderId="0"/>
    <xf numFmtId="0" fontId="36" fillId="0" borderId="0"/>
    <xf numFmtId="0" fontId="2" fillId="0" borderId="0"/>
    <xf numFmtId="0" fontId="40" fillId="0" borderId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</cellStyleXfs>
  <cellXfs count="577">
    <xf numFmtId="0" fontId="0" fillId="0" borderId="0" xfId="0"/>
    <xf numFmtId="4" fontId="1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/>
    <xf numFmtId="4" fontId="15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44" applyFont="1" applyFill="1" applyBorder="1" applyAlignment="1" applyProtection="1">
      <alignment horizontal="center" vertical="center" wrapText="1"/>
      <protection locked="0"/>
    </xf>
    <xf numFmtId="4" fontId="15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44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 wrapText="1"/>
    </xf>
    <xf numFmtId="49" fontId="15" fillId="0" borderId="5" xfId="44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/>
    <xf numFmtId="168" fontId="15" fillId="0" borderId="13" xfId="44" applyNumberFormat="1" applyFont="1" applyFill="1" applyBorder="1" applyAlignment="1" applyProtection="1">
      <alignment horizontal="center" vertical="center" wrapText="1"/>
      <protection locked="0"/>
    </xf>
    <xf numFmtId="168" fontId="14" fillId="0" borderId="0" xfId="0" applyNumberFormat="1" applyFont="1" applyFill="1"/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4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/>
    <xf numFmtId="0" fontId="1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 wrapText="1"/>
    </xf>
    <xf numFmtId="4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4" fontId="15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165" fontId="41" fillId="35" borderId="24" xfId="111" applyFont="1" applyFill="1" applyBorder="1" applyAlignment="1">
      <alignment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49" fontId="1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>
      <alignment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23" xfId="0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vertical="center" wrapText="1"/>
    </xf>
    <xf numFmtId="0" fontId="14" fillId="0" borderId="23" xfId="0" applyFont="1" applyFill="1" applyBorder="1"/>
    <xf numFmtId="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/>
    <xf numFmtId="0" fontId="15" fillId="0" borderId="7" xfId="0" applyFont="1" applyFill="1" applyBorder="1" applyAlignment="1">
      <alignment horizontal="center" vertical="center" wrapText="1"/>
    </xf>
    <xf numFmtId="0" fontId="15" fillId="0" borderId="23" xfId="112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44" applyFont="1" applyFill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left" wrapText="1"/>
    </xf>
    <xf numFmtId="4" fontId="1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4" fontId="15" fillId="0" borderId="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5" fillId="0" borderId="25" xfId="0" applyFont="1" applyFill="1" applyBorder="1"/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25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Fill="1" applyBorder="1" applyAlignment="1">
      <alignment vertical="center" wrapText="1"/>
    </xf>
    <xf numFmtId="0" fontId="14" fillId="0" borderId="25" xfId="0" applyFont="1" applyFill="1" applyBorder="1"/>
    <xf numFmtId="0" fontId="14" fillId="36" borderId="0" xfId="0" applyFont="1" applyFill="1" applyBorder="1" applyAlignment="1" applyProtection="1">
      <alignment horizontal="center" vertical="center" wrapText="1"/>
      <protection locked="0"/>
    </xf>
    <xf numFmtId="0" fontId="14" fillId="36" borderId="0" xfId="0" applyFont="1" applyFill="1"/>
    <xf numFmtId="0" fontId="14" fillId="34" borderId="0" xfId="0" applyFont="1" applyFill="1"/>
    <xf numFmtId="0" fontId="14" fillId="36" borderId="0" xfId="0" applyFont="1" applyFill="1" applyBorder="1"/>
    <xf numFmtId="0" fontId="14" fillId="37" borderId="0" xfId="0" applyFont="1" applyFill="1" applyBorder="1" applyAlignment="1" applyProtection="1">
      <alignment horizontal="center" vertical="center" wrapText="1"/>
      <protection locked="0"/>
    </xf>
    <xf numFmtId="0" fontId="14" fillId="37" borderId="23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27" xfId="0" applyNumberFormat="1" applyFont="1" applyFill="1" applyBorder="1" applyAlignment="1" applyProtection="1">
      <alignment horizontal="center" vertical="center" wrapText="1"/>
      <protection hidden="1"/>
    </xf>
    <xf numFmtId="4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vertical="center" wrapText="1"/>
    </xf>
    <xf numFmtId="4" fontId="43" fillId="0" borderId="27" xfId="0" applyNumberFormat="1" applyFont="1" applyFill="1" applyBorder="1" applyAlignment="1">
      <alignment horizontal="right" vertical="center" wrapText="1"/>
    </xf>
    <xf numFmtId="0" fontId="39" fillId="0" borderId="23" xfId="0" applyFont="1" applyFill="1" applyBorder="1" applyAlignment="1" applyProtection="1">
      <alignment horizontal="center" vertical="center" wrapText="1"/>
      <protection locked="0"/>
    </xf>
    <xf numFmtId="4" fontId="39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/>
    <xf numFmtId="0" fontId="15" fillId="0" borderId="27" xfId="0" applyFont="1" applyFill="1" applyBorder="1" applyAlignment="1">
      <alignment horizontal="right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23" xfId="0" applyFont="1" applyFill="1" applyBorder="1" applyAlignment="1">
      <alignment horizontal="center" vertical="center" wrapText="1"/>
    </xf>
    <xf numFmtId="3" fontId="42" fillId="0" borderId="23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5" xfId="0" applyFont="1" applyFill="1" applyBorder="1"/>
    <xf numFmtId="0" fontId="14" fillId="0" borderId="13" xfId="0" applyFont="1" applyFill="1" applyBorder="1"/>
    <xf numFmtId="0" fontId="15" fillId="0" borderId="5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/>
    </xf>
    <xf numFmtId="0" fontId="0" fillId="0" borderId="23" xfId="0" applyFont="1" applyFill="1" applyBorder="1"/>
    <xf numFmtId="0" fontId="15" fillId="0" borderId="25" xfId="112" applyFont="1" applyFill="1" applyBorder="1" applyAlignment="1" applyProtection="1">
      <alignment horizontal="center" vertical="center" wrapText="1"/>
      <protection locked="0"/>
    </xf>
    <xf numFmtId="0" fontId="15" fillId="0" borderId="23" xfId="112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0" xfId="0" applyAlignment="1"/>
    <xf numFmtId="0" fontId="14" fillId="0" borderId="0" xfId="0" applyFont="1" applyFill="1" applyAlignment="1">
      <alignment horizontal="center" wrapText="1"/>
    </xf>
    <xf numFmtId="0" fontId="37" fillId="0" borderId="0" xfId="0" applyFont="1" applyAlignment="1"/>
    <xf numFmtId="0" fontId="15" fillId="0" borderId="2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39" fillId="0" borderId="27" xfId="0" applyFont="1" applyFill="1" applyBorder="1" applyAlignment="1">
      <alignment horizontal="center" vertical="center" wrapText="1"/>
    </xf>
    <xf numFmtId="168" fontId="15" fillId="0" borderId="27" xfId="44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27" xfId="112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4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5" fillId="0" borderId="0" xfId="0" applyFont="1" applyAlignment="1">
      <alignment wrapText="1"/>
    </xf>
    <xf numFmtId="0" fontId="46" fillId="0" borderId="0" xfId="0" applyFont="1" applyAlignment="1">
      <alignment horizontal="right"/>
    </xf>
    <xf numFmtId="0" fontId="42" fillId="39" borderId="27" xfId="0" applyFont="1" applyFill="1" applyBorder="1" applyAlignment="1">
      <alignment horizontal="center" vertical="center" wrapText="1"/>
    </xf>
    <xf numFmtId="0" fontId="42" fillId="39" borderId="27" xfId="0" applyFont="1" applyFill="1" applyBorder="1" applyAlignment="1">
      <alignment vertical="center" wrapText="1"/>
    </xf>
    <xf numFmtId="0" fontId="47" fillId="39" borderId="27" xfId="0" applyFont="1" applyFill="1" applyBorder="1" applyAlignment="1">
      <alignment horizontal="center" vertical="center" wrapText="1"/>
    </xf>
    <xf numFmtId="0" fontId="48" fillId="39" borderId="27" xfId="0" applyFont="1" applyFill="1" applyBorder="1" applyAlignment="1">
      <alignment vertical="center" wrapText="1"/>
    </xf>
    <xf numFmtId="0" fontId="48" fillId="39" borderId="27" xfId="0" applyFont="1" applyFill="1" applyBorder="1" applyAlignment="1">
      <alignment horizontal="right" vertical="center" wrapText="1"/>
    </xf>
    <xf numFmtId="0" fontId="38" fillId="39" borderId="27" xfId="0" applyFont="1" applyFill="1" applyBorder="1" applyAlignment="1">
      <alignment horizontal="center" vertical="center" wrapText="1"/>
    </xf>
    <xf numFmtId="0" fontId="38" fillId="39" borderId="27" xfId="0" applyFont="1" applyFill="1" applyBorder="1" applyAlignment="1">
      <alignment horizontal="right" vertical="center" wrapText="1"/>
    </xf>
    <xf numFmtId="0" fontId="42" fillId="39" borderId="9" xfId="0" applyFont="1" applyFill="1" applyBorder="1" applyAlignment="1">
      <alignment horizontal="center" vertical="center" wrapText="1"/>
    </xf>
    <xf numFmtId="0" fontId="49" fillId="0" borderId="27" xfId="0" applyFont="1" applyBorder="1" applyAlignment="1">
      <alignment horizontal="center" wrapText="1"/>
    </xf>
    <xf numFmtId="0" fontId="49" fillId="0" borderId="27" xfId="0" applyFont="1" applyBorder="1" applyAlignment="1">
      <alignment horizontal="center"/>
    </xf>
    <xf numFmtId="0" fontId="50" fillId="0" borderId="27" xfId="0" applyFont="1" applyBorder="1" applyAlignment="1">
      <alignment horizontal="center" wrapText="1"/>
    </xf>
    <xf numFmtId="0" fontId="42" fillId="40" borderId="27" xfId="0" applyFont="1" applyFill="1" applyBorder="1" applyAlignment="1">
      <alignment horizontal="center" vertical="center" wrapText="1"/>
    </xf>
    <xf numFmtId="0" fontId="42" fillId="40" borderId="27" xfId="0" applyFont="1" applyFill="1" applyBorder="1" applyAlignment="1">
      <alignment vertical="center" wrapText="1"/>
    </xf>
    <xf numFmtId="0" fontId="42" fillId="40" borderId="27" xfId="0" applyFont="1" applyFill="1" applyBorder="1" applyAlignment="1">
      <alignment horizontal="right" vertical="center" wrapText="1"/>
    </xf>
    <xf numFmtId="0" fontId="42" fillId="40" borderId="9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42" fillId="39" borderId="27" xfId="0" applyFont="1" applyFill="1" applyBorder="1" applyAlignment="1">
      <alignment horizontal="justify" vertical="center" wrapText="1"/>
    </xf>
    <xf numFmtId="0" fontId="47" fillId="39" borderId="27" xfId="0" applyFont="1" applyFill="1" applyBorder="1" applyAlignment="1">
      <alignment horizontal="justify" vertical="center"/>
    </xf>
    <xf numFmtId="0" fontId="39" fillId="39" borderId="27" xfId="0" applyFont="1" applyFill="1" applyBorder="1" applyAlignment="1">
      <alignment vertical="center" wrapText="1"/>
    </xf>
    <xf numFmtId="4" fontId="49" fillId="39" borderId="27" xfId="0" applyNumberFormat="1" applyFont="1" applyFill="1" applyBorder="1" applyAlignment="1">
      <alignment horizontal="right" vertical="center" wrapText="1"/>
    </xf>
    <xf numFmtId="4" fontId="49" fillId="39" borderId="27" xfId="0" applyNumberFormat="1" applyFont="1" applyFill="1" applyBorder="1" applyAlignment="1">
      <alignment horizontal="center" vertical="center" wrapText="1"/>
    </xf>
    <xf numFmtId="0" fontId="39" fillId="39" borderId="9" xfId="0" applyFont="1" applyFill="1" applyBorder="1" applyAlignment="1">
      <alignment vertical="center" wrapText="1"/>
    </xf>
    <xf numFmtId="0" fontId="39" fillId="0" borderId="27" xfId="0" applyFont="1" applyBorder="1" applyAlignment="1">
      <alignment wrapText="1"/>
    </xf>
    <xf numFmtId="0" fontId="0" fillId="0" borderId="27" xfId="0" applyBorder="1"/>
    <xf numFmtId="0" fontId="42" fillId="41" borderId="27" xfId="0" applyFont="1" applyFill="1" applyBorder="1" applyAlignment="1">
      <alignment horizontal="right" vertical="center" wrapText="1"/>
    </xf>
    <xf numFmtId="0" fontId="42" fillId="41" borderId="27" xfId="0" applyFont="1" applyFill="1" applyBorder="1"/>
    <xf numFmtId="0" fontId="39" fillId="41" borderId="27" xfId="0" applyFont="1" applyFill="1" applyBorder="1" applyAlignment="1">
      <alignment vertical="center" wrapText="1"/>
    </xf>
    <xf numFmtId="169" fontId="39" fillId="41" borderId="27" xfId="0" applyNumberFormat="1" applyFont="1" applyFill="1" applyBorder="1" applyAlignment="1">
      <alignment horizontal="center" vertical="center" wrapText="1"/>
    </xf>
    <xf numFmtId="43" fontId="51" fillId="41" borderId="27" xfId="117" applyFont="1" applyFill="1" applyBorder="1" applyAlignment="1">
      <alignment vertical="center"/>
    </xf>
    <xf numFmtId="4" fontId="42" fillId="41" borderId="27" xfId="0" applyNumberFormat="1" applyFont="1" applyFill="1" applyBorder="1" applyAlignment="1">
      <alignment vertical="center"/>
    </xf>
    <xf numFmtId="4" fontId="39" fillId="41" borderId="27" xfId="0" applyNumberFormat="1" applyFont="1" applyFill="1" applyBorder="1" applyAlignment="1">
      <alignment vertical="center" wrapText="1"/>
    </xf>
    <xf numFmtId="4" fontId="39" fillId="41" borderId="27" xfId="0" applyNumberFormat="1" applyFont="1" applyFill="1" applyBorder="1" applyAlignment="1">
      <alignment horizontal="right" vertical="center" wrapText="1"/>
    </xf>
    <xf numFmtId="0" fontId="39" fillId="0" borderId="9" xfId="0" applyFont="1" applyFill="1" applyBorder="1" applyAlignment="1">
      <alignment vertical="center" wrapText="1"/>
    </xf>
    <xf numFmtId="4" fontId="39" fillId="0" borderId="27" xfId="0" applyNumberFormat="1" applyFont="1" applyFill="1" applyBorder="1" applyAlignment="1">
      <alignment horizontal="center" vertical="center"/>
    </xf>
    <xf numFmtId="0" fontId="42" fillId="41" borderId="27" xfId="0" applyFont="1" applyFill="1" applyBorder="1" applyAlignment="1">
      <alignment wrapText="1"/>
    </xf>
    <xf numFmtId="4" fontId="42" fillId="41" borderId="27" xfId="0" applyNumberFormat="1" applyFont="1" applyFill="1" applyBorder="1" applyAlignment="1">
      <alignment horizontal="right" vertical="center"/>
    </xf>
    <xf numFmtId="0" fontId="39" fillId="41" borderId="27" xfId="0" applyFont="1" applyFill="1" applyBorder="1" applyAlignment="1">
      <alignment horizontal="justify" vertical="center" wrapText="1"/>
    </xf>
    <xf numFmtId="43" fontId="51" fillId="41" borderId="27" xfId="117" applyFont="1" applyFill="1" applyBorder="1" applyAlignment="1">
      <alignment horizontal="center" vertical="center"/>
    </xf>
    <xf numFmtId="0" fontId="42" fillId="41" borderId="7" xfId="0" applyFont="1" applyFill="1" applyBorder="1" applyAlignment="1">
      <alignment horizontal="right" vertical="center" wrapText="1"/>
    </xf>
    <xf numFmtId="0" fontId="39" fillId="41" borderId="7" xfId="0" applyFont="1" applyFill="1" applyBorder="1" applyAlignment="1">
      <alignment horizontal="justify" vertical="center" wrapText="1"/>
    </xf>
    <xf numFmtId="169" fontId="39" fillId="41" borderId="27" xfId="0" applyNumberFormat="1" applyFont="1" applyFill="1" applyBorder="1" applyAlignment="1">
      <alignment horizontal="right" vertical="center" wrapText="1"/>
    </xf>
    <xf numFmtId="169" fontId="39" fillId="41" borderId="27" xfId="0" applyNumberFormat="1" applyFont="1" applyFill="1" applyBorder="1" applyAlignment="1">
      <alignment vertical="center" wrapText="1"/>
    </xf>
    <xf numFmtId="0" fontId="39" fillId="0" borderId="9" xfId="0" applyFont="1" applyFill="1" applyBorder="1" applyAlignment="1">
      <alignment horizontal="justify" vertical="center"/>
    </xf>
    <xf numFmtId="43" fontId="52" fillId="0" borderId="27" xfId="117" applyFont="1" applyFill="1" applyBorder="1" applyAlignment="1">
      <alignment horizontal="left" vertical="top" wrapText="1"/>
    </xf>
    <xf numFmtId="0" fontId="47" fillId="41" borderId="0" xfId="0" applyFont="1" applyFill="1" applyBorder="1" applyAlignment="1">
      <alignment horizontal="left" vertical="center"/>
    </xf>
    <xf numFmtId="4" fontId="49" fillId="41" borderId="27" xfId="0" applyNumberFormat="1" applyFont="1" applyFill="1" applyBorder="1" applyAlignment="1">
      <alignment horizontal="right" vertical="center" wrapText="1"/>
    </xf>
    <xf numFmtId="43" fontId="39" fillId="0" borderId="27" xfId="117" applyFont="1" applyBorder="1" applyAlignment="1">
      <alignment horizontal="left" wrapText="1"/>
    </xf>
    <xf numFmtId="0" fontId="39" fillId="0" borderId="27" xfId="0" applyFont="1" applyFill="1" applyBorder="1" applyAlignment="1">
      <alignment vertical="center"/>
    </xf>
    <xf numFmtId="0" fontId="42" fillId="41" borderId="9" xfId="0" applyFont="1" applyFill="1" applyBorder="1" applyAlignment="1">
      <alignment vertical="center" wrapText="1"/>
    </xf>
    <xf numFmtId="0" fontId="42" fillId="41" borderId="27" xfId="0" applyFont="1" applyFill="1" applyBorder="1" applyAlignment="1">
      <alignment horizontal="justify" vertical="center" wrapText="1"/>
    </xf>
    <xf numFmtId="0" fontId="39" fillId="0" borderId="27" xfId="0" applyFont="1" applyFill="1" applyBorder="1" applyAlignment="1">
      <alignment vertical="center" wrapText="1"/>
    </xf>
    <xf numFmtId="4" fontId="39" fillId="0" borderId="27" xfId="0" applyNumberFormat="1" applyFont="1" applyFill="1" applyBorder="1" applyAlignment="1">
      <alignment horizontal="center" vertical="center" wrapText="1"/>
    </xf>
    <xf numFmtId="0" fontId="42" fillId="41" borderId="27" xfId="0" applyFont="1" applyFill="1" applyBorder="1" applyAlignment="1">
      <alignment vertical="center" wrapText="1"/>
    </xf>
    <xf numFmtId="4" fontId="39" fillId="41" borderId="27" xfId="0" applyNumberFormat="1" applyFont="1" applyFill="1" applyBorder="1" applyAlignment="1">
      <alignment horizontal="center" vertical="center" wrapText="1"/>
    </xf>
    <xf numFmtId="43" fontId="39" fillId="0" borderId="27" xfId="117" applyFont="1" applyFill="1" applyBorder="1" applyAlignment="1">
      <alignment vertical="center"/>
    </xf>
    <xf numFmtId="4" fontId="39" fillId="0" borderId="27" xfId="0" applyNumberFormat="1" applyFont="1" applyFill="1" applyBorder="1" applyAlignment="1">
      <alignment vertical="center"/>
    </xf>
    <xf numFmtId="0" fontId="42" fillId="41" borderId="7" xfId="0" applyFont="1" applyFill="1" applyBorder="1" applyAlignment="1">
      <alignment vertical="center" wrapText="1"/>
    </xf>
    <xf numFmtId="0" fontId="42" fillId="41" borderId="8" xfId="0" applyFont="1" applyFill="1" applyBorder="1" applyAlignment="1">
      <alignment vertical="center" wrapText="1"/>
    </xf>
    <xf numFmtId="0" fontId="39" fillId="41" borderId="7" xfId="0" applyFont="1" applyFill="1" applyBorder="1" applyAlignment="1">
      <alignment vertical="center" wrapText="1"/>
    </xf>
    <xf numFmtId="169" fontId="39" fillId="41" borderId="7" xfId="0" applyNumberFormat="1" applyFont="1" applyFill="1" applyBorder="1" applyAlignment="1">
      <alignment horizontal="center" vertical="center" wrapText="1"/>
    </xf>
    <xf numFmtId="4" fontId="39" fillId="41" borderId="7" xfId="0" applyNumberFormat="1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vertical="center" wrapText="1"/>
    </xf>
    <xf numFmtId="0" fontId="39" fillId="0" borderId="7" xfId="0" applyFont="1" applyFill="1" applyBorder="1" applyAlignment="1">
      <alignment vertical="center" wrapText="1"/>
    </xf>
    <xf numFmtId="43" fontId="39" fillId="0" borderId="27" xfId="117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168" fontId="42" fillId="41" borderId="7" xfId="0" applyNumberFormat="1" applyFont="1" applyFill="1" applyBorder="1" applyAlignment="1">
      <alignment horizontal="center" vertical="center" wrapText="1"/>
    </xf>
    <xf numFmtId="43" fontId="42" fillId="41" borderId="7" xfId="117" applyFont="1" applyFill="1" applyBorder="1" applyAlignment="1">
      <alignment horizontal="center" vertical="center" wrapText="1"/>
    </xf>
    <xf numFmtId="0" fontId="53" fillId="42" borderId="27" xfId="0" applyFont="1" applyFill="1" applyBorder="1" applyAlignment="1">
      <alignment horizontal="center" vertical="center" wrapText="1"/>
    </xf>
    <xf numFmtId="4" fontId="53" fillId="42" borderId="27" xfId="0" applyNumberFormat="1" applyFont="1" applyFill="1" applyBorder="1" applyAlignment="1">
      <alignment horizontal="center" vertical="center" wrapText="1"/>
    </xf>
    <xf numFmtId="4" fontId="47" fillId="43" borderId="27" xfId="0" applyNumberFormat="1" applyFont="1" applyFill="1" applyBorder="1" applyAlignment="1">
      <alignment horizontal="center" vertical="center" wrapText="1"/>
    </xf>
    <xf numFmtId="0" fontId="38" fillId="43" borderId="27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27" xfId="0" applyFill="1" applyBorder="1"/>
    <xf numFmtId="0" fontId="0" fillId="39" borderId="27" xfId="0" applyFill="1" applyBorder="1"/>
    <xf numFmtId="0" fontId="55" fillId="0" borderId="27" xfId="0" applyFont="1" applyFill="1" applyBorder="1" applyAlignment="1">
      <alignment horizontal="center" vertical="center" wrapText="1"/>
    </xf>
    <xf numFmtId="4" fontId="55" fillId="0" borderId="27" xfId="0" applyNumberFormat="1" applyFont="1" applyFill="1" applyBorder="1" applyAlignment="1">
      <alignment horizontal="right" vertical="center" wrapText="1"/>
    </xf>
    <xf numFmtId="4" fontId="0" fillId="0" borderId="27" xfId="0" applyNumberFormat="1" applyBorder="1"/>
    <xf numFmtId="0" fontId="13" fillId="0" borderId="27" xfId="0" applyFont="1" applyFill="1" applyBorder="1" applyAlignment="1">
      <alignment horizontal="left" vertical="center" wrapText="1"/>
    </xf>
    <xf numFmtId="4" fontId="56" fillId="0" borderId="27" xfId="0" applyNumberFormat="1" applyFont="1" applyFill="1" applyBorder="1" applyAlignment="1">
      <alignment horizontal="left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left" vertical="center" wrapText="1"/>
    </xf>
    <xf numFmtId="4" fontId="57" fillId="0" borderId="27" xfId="0" applyNumberFormat="1" applyFont="1" applyFill="1" applyBorder="1" applyAlignment="1">
      <alignment horizontal="left" vertical="center" wrapText="1"/>
    </xf>
    <xf numFmtId="0" fontId="57" fillId="0" borderId="27" xfId="0" applyFont="1" applyFill="1" applyBorder="1" applyAlignment="1">
      <alignment horizontal="center" vertical="center"/>
    </xf>
    <xf numFmtId="0" fontId="54" fillId="0" borderId="27" xfId="0" applyFont="1" applyFill="1" applyBorder="1" applyAlignment="1">
      <alignment horizontal="left" vertical="center" wrapText="1"/>
    </xf>
    <xf numFmtId="4" fontId="55" fillId="0" borderId="27" xfId="0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4" fontId="0" fillId="42" borderId="0" xfId="0" applyNumberFormat="1" applyFill="1"/>
    <xf numFmtId="49" fontId="0" fillId="0" borderId="0" xfId="0" applyNumberFormat="1"/>
    <xf numFmtId="14" fontId="0" fillId="0" borderId="0" xfId="0" applyNumberFormat="1"/>
    <xf numFmtId="4" fontId="58" fillId="42" borderId="27" xfId="0" applyNumberFormat="1" applyFont="1" applyFill="1" applyBorder="1"/>
    <xf numFmtId="0" fontId="58" fillId="42" borderId="27" xfId="0" applyFont="1" applyFill="1" applyBorder="1"/>
    <xf numFmtId="0" fontId="58" fillId="42" borderId="27" xfId="0" applyFont="1" applyFill="1" applyBorder="1" applyAlignment="1">
      <alignment horizontal="center"/>
    </xf>
    <xf numFmtId="4" fontId="0" fillId="45" borderId="0" xfId="0" applyNumberFormat="1" applyFill="1"/>
    <xf numFmtId="4" fontId="39" fillId="45" borderId="27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vertical="top"/>
    </xf>
    <xf numFmtId="0" fontId="44" fillId="46" borderId="27" xfId="0" applyFont="1" applyFill="1" applyBorder="1" applyAlignment="1">
      <alignment horizontal="center" vertical="center" wrapText="1"/>
    </xf>
    <xf numFmtId="4" fontId="44" fillId="46" borderId="27" xfId="0" applyNumberFormat="1" applyFont="1" applyFill="1" applyBorder="1" applyAlignment="1">
      <alignment horizontal="center" vertical="center" wrapText="1"/>
    </xf>
    <xf numFmtId="0" fontId="45" fillId="0" borderId="0" xfId="0" applyFont="1" applyAlignment="1"/>
    <xf numFmtId="0" fontId="45" fillId="0" borderId="27" xfId="0" applyFont="1" applyBorder="1"/>
    <xf numFmtId="0" fontId="45" fillId="44" borderId="27" xfId="0" applyFont="1" applyFill="1" applyBorder="1" applyAlignment="1">
      <alignment horizontal="left" vertical="center"/>
    </xf>
    <xf numFmtId="0" fontId="43" fillId="44" borderId="27" xfId="0" applyFont="1" applyFill="1" applyBorder="1" applyAlignment="1">
      <alignment horizontal="center" vertical="center"/>
    </xf>
    <xf numFmtId="0" fontId="45" fillId="44" borderId="27" xfId="0" applyFont="1" applyFill="1" applyBorder="1" applyAlignment="1">
      <alignment vertical="center"/>
    </xf>
    <xf numFmtId="0" fontId="45" fillId="0" borderId="27" xfId="0" applyFont="1" applyFill="1" applyBorder="1" applyAlignment="1">
      <alignment vertical="center"/>
    </xf>
    <xf numFmtId="4" fontId="45" fillId="44" borderId="27" xfId="0" applyNumberFormat="1" applyFont="1" applyFill="1" applyBorder="1" applyAlignment="1">
      <alignment vertical="center"/>
    </xf>
    <xf numFmtId="4" fontId="45" fillId="0" borderId="27" xfId="0" applyNumberFormat="1" applyFont="1" applyBorder="1"/>
    <xf numFmtId="0" fontId="45" fillId="0" borderId="0" xfId="0" applyFont="1"/>
    <xf numFmtId="0" fontId="61" fillId="44" borderId="27" xfId="0" applyFont="1" applyFill="1" applyBorder="1" applyAlignment="1">
      <alignment horizontal="left" vertical="center"/>
    </xf>
    <xf numFmtId="4" fontId="61" fillId="44" borderId="27" xfId="0" applyNumberFormat="1" applyFont="1" applyFill="1" applyBorder="1" applyAlignment="1">
      <alignment vertical="center"/>
    </xf>
    <xf numFmtId="0" fontId="61" fillId="44" borderId="27" xfId="0" applyFont="1" applyFill="1" applyBorder="1" applyAlignment="1">
      <alignment vertical="center"/>
    </xf>
    <xf numFmtId="0" fontId="61" fillId="0" borderId="27" xfId="0" applyFont="1" applyFill="1" applyBorder="1" applyAlignment="1">
      <alignment vertical="center"/>
    </xf>
    <xf numFmtId="4" fontId="61" fillId="0" borderId="27" xfId="0" applyNumberFormat="1" applyFont="1" applyBorder="1"/>
    <xf numFmtId="0" fontId="44" fillId="46" borderId="27" xfId="0" applyFont="1" applyFill="1" applyBorder="1" applyAlignment="1">
      <alignment horizontal="right" vertical="center" wrapText="1"/>
    </xf>
    <xf numFmtId="0" fontId="44" fillId="46" borderId="27" xfId="0" applyFont="1" applyFill="1" applyBorder="1" applyAlignment="1">
      <alignment horizontal="left" vertical="center" wrapText="1"/>
    </xf>
    <xf numFmtId="4" fontId="44" fillId="46" borderId="27" xfId="0" applyNumberFormat="1" applyFont="1" applyFill="1" applyBorder="1" applyAlignment="1">
      <alignment horizontal="right" vertical="center" wrapText="1"/>
    </xf>
    <xf numFmtId="0" fontId="45" fillId="44" borderId="27" xfId="0" applyFont="1" applyFill="1" applyBorder="1" applyAlignment="1">
      <alignment horizontal="center" vertical="center"/>
    </xf>
    <xf numFmtId="4" fontId="45" fillId="0" borderId="0" xfId="0" applyNumberFormat="1" applyFont="1"/>
    <xf numFmtId="0" fontId="43" fillId="44" borderId="27" xfId="0" applyFont="1" applyFill="1" applyBorder="1" applyAlignment="1">
      <alignment horizontal="left" vertical="center"/>
    </xf>
    <xf numFmtId="0" fontId="43" fillId="44" borderId="27" xfId="0" applyFont="1" applyFill="1" applyBorder="1" applyAlignment="1">
      <alignment vertical="center"/>
    </xf>
    <xf numFmtId="0" fontId="61" fillId="44" borderId="27" xfId="0" applyFont="1" applyFill="1" applyBorder="1" applyAlignment="1">
      <alignment horizontal="center" vertical="center"/>
    </xf>
    <xf numFmtId="0" fontId="61" fillId="0" borderId="27" xfId="0" applyFont="1" applyBorder="1"/>
    <xf numFmtId="0" fontId="45" fillId="44" borderId="27" xfId="0" applyFont="1" applyFill="1" applyBorder="1" applyAlignment="1">
      <alignment horizontal="left"/>
    </xf>
    <xf numFmtId="0" fontId="45" fillId="44" borderId="27" xfId="0" applyFont="1" applyFill="1" applyBorder="1" applyAlignment="1">
      <alignment horizontal="center"/>
    </xf>
    <xf numFmtId="0" fontId="45" fillId="44" borderId="27" xfId="0" applyFont="1" applyFill="1" applyBorder="1" applyAlignment="1"/>
    <xf numFmtId="0" fontId="43" fillId="44" borderId="27" xfId="0" applyFont="1" applyFill="1" applyBorder="1" applyAlignment="1"/>
    <xf numFmtId="0" fontId="61" fillId="44" borderId="27" xfId="0" applyFont="1" applyFill="1" applyBorder="1" applyAlignment="1">
      <alignment horizontal="left"/>
    </xf>
    <xf numFmtId="0" fontId="61" fillId="44" borderId="27" xfId="0" applyFont="1" applyFill="1" applyBorder="1" applyAlignment="1">
      <alignment horizontal="center"/>
    </xf>
    <xf numFmtId="0" fontId="61" fillId="44" borderId="27" xfId="0" applyFont="1" applyFill="1" applyBorder="1" applyAlignment="1"/>
    <xf numFmtId="0" fontId="61" fillId="44" borderId="27" xfId="0" applyFont="1" applyFill="1" applyBorder="1" applyAlignment="1">
      <alignment horizontal="left" wrapText="1"/>
    </xf>
    <xf numFmtId="0" fontId="50" fillId="46" borderId="27" xfId="0" applyFont="1" applyFill="1" applyBorder="1"/>
    <xf numFmtId="4" fontId="50" fillId="46" borderId="27" xfId="0" applyNumberFormat="1" applyFont="1" applyFill="1" applyBorder="1" applyAlignment="1">
      <alignment vertical="center"/>
    </xf>
    <xf numFmtId="0" fontId="61" fillId="0" borderId="27" xfId="0" applyFont="1" applyFill="1" applyBorder="1" applyAlignment="1">
      <alignment horizontal="left" vertical="center" wrapText="1"/>
    </xf>
    <xf numFmtId="0" fontId="61" fillId="0" borderId="27" xfId="0" applyFont="1" applyFill="1" applyBorder="1" applyAlignment="1">
      <alignment horizontal="center" vertical="center" wrapText="1"/>
    </xf>
    <xf numFmtId="4" fontId="61" fillId="0" borderId="27" xfId="0" applyNumberFormat="1" applyFont="1" applyFill="1" applyBorder="1" applyAlignment="1">
      <alignment horizontal="right" vertical="center" wrapText="1"/>
    </xf>
    <xf numFmtId="0" fontId="62" fillId="46" borderId="27" xfId="0" applyFont="1" applyFill="1" applyBorder="1" applyAlignment="1">
      <alignment horizontal="left"/>
    </xf>
    <xf numFmtId="0" fontId="61" fillId="46" borderId="27" xfId="0" applyFont="1" applyFill="1" applyBorder="1" applyAlignment="1">
      <alignment horizontal="center"/>
    </xf>
    <xf numFmtId="0" fontId="61" fillId="46" borderId="27" xfId="0" applyFont="1" applyFill="1" applyBorder="1"/>
    <xf numFmtId="0" fontId="61" fillId="46" borderId="27" xfId="0" applyFont="1" applyFill="1" applyBorder="1" applyAlignment="1"/>
    <xf numFmtId="0" fontId="61" fillId="46" borderId="27" xfId="0" applyFont="1" applyFill="1" applyBorder="1" applyAlignment="1">
      <alignment vertical="center"/>
    </xf>
    <xf numFmtId="4" fontId="62" fillId="46" borderId="27" xfId="0" applyNumberFormat="1" applyFont="1" applyFill="1" applyBorder="1" applyAlignment="1">
      <alignment vertical="center"/>
    </xf>
    <xf numFmtId="0" fontId="63" fillId="0" borderId="27" xfId="0" applyFont="1" applyFill="1" applyBorder="1" applyAlignment="1">
      <alignment vertical="center" wrapText="1"/>
    </xf>
    <xf numFmtId="0" fontId="63" fillId="0" borderId="27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left" vertical="center" wrapText="1"/>
    </xf>
    <xf numFmtId="0" fontId="43" fillId="0" borderId="27" xfId="0" applyFont="1" applyFill="1" applyBorder="1" applyAlignment="1">
      <alignment horizontal="center" vertical="center" wrapText="1"/>
    </xf>
    <xf numFmtId="0" fontId="45" fillId="0" borderId="27" xfId="0" applyFont="1" applyBorder="1" applyAlignment="1">
      <alignment horizontal="right"/>
    </xf>
    <xf numFmtId="0" fontId="43" fillId="0" borderId="27" xfId="0" applyFont="1" applyFill="1" applyBorder="1" applyAlignment="1">
      <alignment vertical="center" wrapText="1"/>
    </xf>
    <xf numFmtId="0" fontId="50" fillId="0" borderId="27" xfId="0" applyFont="1" applyBorder="1"/>
    <xf numFmtId="4" fontId="50" fillId="46" borderId="27" xfId="0" applyNumberFormat="1" applyFont="1" applyFill="1" applyBorder="1"/>
    <xf numFmtId="0" fontId="50" fillId="0" borderId="0" xfId="0" applyFont="1"/>
    <xf numFmtId="4" fontId="45" fillId="45" borderId="27" xfId="0" applyNumberFormat="1" applyFont="1" applyFill="1" applyBorder="1" applyAlignment="1">
      <alignment vertical="center"/>
    </xf>
    <xf numFmtId="0" fontId="49" fillId="42" borderId="27" xfId="118" applyFont="1" applyFill="1" applyBorder="1" applyAlignment="1">
      <alignment horizontal="center"/>
    </xf>
    <xf numFmtId="0" fontId="47" fillId="42" borderId="27" xfId="118" applyFont="1" applyFill="1" applyBorder="1" applyAlignment="1">
      <alignment vertical="center" wrapText="1"/>
    </xf>
    <xf numFmtId="0" fontId="47" fillId="42" borderId="27" xfId="118" applyFont="1" applyFill="1" applyBorder="1" applyAlignment="1">
      <alignment horizontal="center" vertical="center" wrapText="1"/>
    </xf>
    <xf numFmtId="0" fontId="38" fillId="42" borderId="27" xfId="118" applyFont="1" applyFill="1" applyBorder="1" applyAlignment="1">
      <alignment horizontal="center" vertical="center" wrapText="1"/>
    </xf>
    <xf numFmtId="4" fontId="47" fillId="42" borderId="0" xfId="118" applyNumberFormat="1" applyFont="1" applyFill="1" applyBorder="1" applyAlignment="1">
      <alignment horizontal="center" vertical="center" wrapText="1"/>
    </xf>
    <xf numFmtId="4" fontId="47" fillId="42" borderId="27" xfId="118" applyNumberFormat="1" applyFont="1" applyFill="1" applyBorder="1" applyAlignment="1">
      <alignment horizontal="center" vertical="center" wrapText="1"/>
    </xf>
    <xf numFmtId="0" fontId="64" fillId="0" borderId="0" xfId="118" applyFont="1" applyAlignment="1">
      <alignment wrapText="1"/>
    </xf>
    <xf numFmtId="0" fontId="1" fillId="0" borderId="0" xfId="118"/>
    <xf numFmtId="0" fontId="47" fillId="47" borderId="0" xfId="118" applyFont="1" applyFill="1" applyBorder="1" applyAlignment="1">
      <alignment horizontal="center" vertical="center"/>
    </xf>
    <xf numFmtId="0" fontId="47" fillId="47" borderId="27" xfId="118" applyFont="1" applyFill="1" applyBorder="1" applyAlignment="1">
      <alignment horizontal="center" vertical="center"/>
    </xf>
    <xf numFmtId="0" fontId="49" fillId="39" borderId="0" xfId="118" applyFont="1" applyFill="1" applyBorder="1" applyAlignment="1">
      <alignment horizontal="center"/>
    </xf>
    <xf numFmtId="0" fontId="49" fillId="39" borderId="27" xfId="118" applyFont="1" applyFill="1" applyBorder="1" applyAlignment="1">
      <alignment horizontal="center"/>
    </xf>
    <xf numFmtId="0" fontId="49" fillId="0" borderId="27" xfId="118" applyFont="1" applyFill="1" applyBorder="1" applyAlignment="1">
      <alignment horizontal="center"/>
    </xf>
    <xf numFmtId="4" fontId="49" fillId="0" borderId="27" xfId="118" applyNumberFormat="1" applyFont="1" applyFill="1" applyBorder="1" applyAlignment="1">
      <alignment horizontal="center"/>
    </xf>
    <xf numFmtId="4" fontId="49" fillId="0" borderId="9" xfId="118" applyNumberFormat="1" applyFont="1" applyFill="1" applyBorder="1" applyAlignment="1">
      <alignment horizontal="center"/>
    </xf>
    <xf numFmtId="0" fontId="39" fillId="0" borderId="27" xfId="118" applyFont="1" applyFill="1" applyBorder="1" applyAlignment="1"/>
    <xf numFmtId="0" fontId="39" fillId="0" borderId="27" xfId="118" applyFont="1" applyFill="1" applyBorder="1" applyAlignment="1">
      <alignment vertical="center" wrapText="1"/>
    </xf>
    <xf numFmtId="169" fontId="39" fillId="0" borderId="27" xfId="118" applyNumberFormat="1" applyFont="1" applyFill="1" applyBorder="1" applyAlignment="1">
      <alignment vertical="center" wrapText="1"/>
    </xf>
    <xf numFmtId="4" fontId="39" fillId="0" borderId="27" xfId="118" applyNumberFormat="1" applyFont="1" applyFill="1" applyBorder="1" applyAlignment="1">
      <alignment vertical="center" wrapText="1"/>
    </xf>
    <xf numFmtId="0" fontId="13" fillId="44" borderId="9" xfId="118" applyFont="1" applyFill="1" applyBorder="1" applyAlignment="1">
      <alignment horizontal="center" vertical="center" wrapText="1"/>
    </xf>
    <xf numFmtId="0" fontId="13" fillId="44" borderId="27" xfId="118" applyFont="1" applyFill="1" applyBorder="1" applyAlignment="1">
      <alignment horizontal="center" vertical="center" wrapText="1"/>
    </xf>
    <xf numFmtId="4" fontId="39" fillId="0" borderId="27" xfId="118" applyNumberFormat="1" applyFont="1" applyBorder="1"/>
    <xf numFmtId="0" fontId="39" fillId="44" borderId="27" xfId="118" applyFont="1" applyFill="1" applyBorder="1" applyAlignment="1"/>
    <xf numFmtId="0" fontId="39" fillId="44" borderId="27" xfId="118" applyFont="1" applyFill="1" applyBorder="1" applyAlignment="1">
      <alignment vertical="center" wrapText="1"/>
    </xf>
    <xf numFmtId="0" fontId="15" fillId="44" borderId="27" xfId="118" applyFont="1" applyFill="1" applyBorder="1" applyAlignment="1">
      <alignment vertical="center" wrapText="1"/>
    </xf>
    <xf numFmtId="169" fontId="39" fillId="44" borderId="27" xfId="118" applyNumberFormat="1" applyFont="1" applyFill="1" applyBorder="1" applyAlignment="1">
      <alignment vertical="center" wrapText="1"/>
    </xf>
    <xf numFmtId="4" fontId="39" fillId="44" borderId="27" xfId="118" applyNumberFormat="1" applyFont="1" applyFill="1" applyBorder="1" applyAlignment="1">
      <alignment vertical="center" wrapText="1"/>
    </xf>
    <xf numFmtId="4" fontId="39" fillId="0" borderId="9" xfId="118" applyNumberFormat="1" applyFont="1" applyBorder="1"/>
    <xf numFmtId="0" fontId="15" fillId="0" borderId="27" xfId="118" applyFont="1" applyFill="1" applyBorder="1" applyAlignment="1">
      <alignment vertical="center" wrapText="1"/>
    </xf>
    <xf numFmtId="169" fontId="15" fillId="0" borderId="27" xfId="118" applyNumberFormat="1" applyFont="1" applyFill="1" applyBorder="1" applyAlignment="1">
      <alignment vertical="center" wrapText="1"/>
    </xf>
    <xf numFmtId="4" fontId="15" fillId="0" borderId="27" xfId="118" applyNumberFormat="1" applyFont="1" applyFill="1" applyBorder="1" applyAlignment="1">
      <alignment vertical="center" wrapText="1"/>
    </xf>
    <xf numFmtId="0" fontId="15" fillId="0" borderId="27" xfId="118" applyFont="1" applyBorder="1"/>
    <xf numFmtId="4" fontId="15" fillId="0" borderId="27" xfId="118" applyNumberFormat="1" applyFont="1" applyBorder="1"/>
    <xf numFmtId="0" fontId="13" fillId="44" borderId="29" xfId="119" applyFont="1" applyFill="1" applyBorder="1" applyAlignment="1">
      <alignment horizontal="center" vertical="center" wrapText="1"/>
    </xf>
    <xf numFmtId="0" fontId="13" fillId="44" borderId="27" xfId="119" applyFont="1" applyFill="1" applyBorder="1" applyAlignment="1">
      <alignment horizontal="center" vertical="center" wrapText="1"/>
    </xf>
    <xf numFmtId="0" fontId="38" fillId="48" borderId="9" xfId="118" applyFont="1" applyFill="1" applyBorder="1" applyAlignment="1">
      <alignment horizontal="center"/>
    </xf>
    <xf numFmtId="0" fontId="38" fillId="48" borderId="27" xfId="118" applyFont="1" applyFill="1" applyBorder="1" applyAlignment="1">
      <alignment horizontal="center"/>
    </xf>
    <xf numFmtId="0" fontId="38" fillId="0" borderId="27" xfId="118" applyFont="1" applyFill="1" applyBorder="1" applyAlignment="1">
      <alignment horizontal="center"/>
    </xf>
    <xf numFmtId="4" fontId="38" fillId="0" borderId="27" xfId="118" applyNumberFormat="1" applyFont="1" applyFill="1" applyBorder="1" applyAlignment="1">
      <alignment horizontal="center"/>
    </xf>
    <xf numFmtId="4" fontId="38" fillId="0" borderId="9" xfId="118" applyNumberFormat="1" applyFont="1" applyFill="1" applyBorder="1" applyAlignment="1">
      <alignment horizontal="center"/>
    </xf>
    <xf numFmtId="0" fontId="15" fillId="0" borderId="27" xfId="118" applyFont="1" applyFill="1" applyBorder="1" applyAlignment="1"/>
    <xf numFmtId="0" fontId="65" fillId="0" borderId="27" xfId="118" applyFont="1" applyBorder="1"/>
    <xf numFmtId="0" fontId="65" fillId="0" borderId="27" xfId="118" applyFont="1" applyFill="1" applyBorder="1" applyAlignment="1">
      <alignment vertical="center" wrapText="1"/>
    </xf>
    <xf numFmtId="169" fontId="65" fillId="0" borderId="27" xfId="118" applyNumberFormat="1" applyFont="1" applyFill="1" applyBorder="1" applyAlignment="1">
      <alignment vertical="center" wrapText="1"/>
    </xf>
    <xf numFmtId="4" fontId="65" fillId="0" borderId="27" xfId="118" applyNumberFormat="1" applyFont="1" applyBorder="1"/>
    <xf numFmtId="4" fontId="65" fillId="0" borderId="27" xfId="118" applyNumberFormat="1" applyFont="1" applyFill="1" applyBorder="1" applyAlignment="1">
      <alignment vertical="center" wrapText="1"/>
    </xf>
    <xf numFmtId="0" fontId="66" fillId="0" borderId="0" xfId="118" applyFont="1"/>
    <xf numFmtId="4" fontId="65" fillId="0" borderId="9" xfId="118" applyNumberFormat="1" applyFont="1" applyBorder="1"/>
    <xf numFmtId="0" fontId="38" fillId="0" borderId="27" xfId="118" applyFont="1" applyFill="1" applyBorder="1" applyAlignment="1"/>
    <xf numFmtId="0" fontId="38" fillId="46" borderId="27" xfId="118" applyFont="1" applyFill="1" applyBorder="1"/>
    <xf numFmtId="0" fontId="38" fillId="46" borderId="27" xfId="118" applyFont="1" applyFill="1" applyBorder="1" applyAlignment="1">
      <alignment vertical="center" wrapText="1"/>
    </xf>
    <xf numFmtId="169" fontId="38" fillId="46" borderId="27" xfId="118" applyNumberFormat="1" applyFont="1" applyFill="1" applyBorder="1" applyAlignment="1">
      <alignment vertical="center" wrapText="1"/>
    </xf>
    <xf numFmtId="4" fontId="38" fillId="46" borderId="27" xfId="118" applyNumberFormat="1" applyFont="1" applyFill="1" applyBorder="1"/>
    <xf numFmtId="4" fontId="38" fillId="46" borderId="27" xfId="118" applyNumberFormat="1" applyFont="1" applyFill="1" applyBorder="1" applyAlignment="1">
      <alignment vertical="center" wrapText="1"/>
    </xf>
    <xf numFmtId="4" fontId="38" fillId="46" borderId="9" xfId="118" applyNumberFormat="1" applyFont="1" applyFill="1" applyBorder="1" applyAlignment="1">
      <alignment vertical="center" wrapText="1"/>
    </xf>
    <xf numFmtId="0" fontId="67" fillId="0" borderId="0" xfId="118" applyFont="1"/>
    <xf numFmtId="0" fontId="47" fillId="47" borderId="9" xfId="118" applyFont="1" applyFill="1" applyBorder="1" applyAlignment="1">
      <alignment horizontal="center" vertical="center" wrapText="1"/>
    </xf>
    <xf numFmtId="0" fontId="47" fillId="47" borderId="27" xfId="118" applyFont="1" applyFill="1" applyBorder="1" applyAlignment="1">
      <alignment horizontal="center" vertical="center" wrapText="1"/>
    </xf>
    <xf numFmtId="0" fontId="49" fillId="39" borderId="9" xfId="118" applyFont="1" applyFill="1" applyBorder="1" applyAlignment="1">
      <alignment horizontal="center"/>
    </xf>
    <xf numFmtId="0" fontId="1" fillId="0" borderId="0" xfId="118" applyFill="1"/>
    <xf numFmtId="0" fontId="49" fillId="48" borderId="9" xfId="118" applyFont="1" applyFill="1" applyBorder="1" applyAlignment="1">
      <alignment horizontal="center"/>
    </xf>
    <xf numFmtId="0" fontId="49" fillId="48" borderId="27" xfId="118" applyFont="1" applyFill="1" applyBorder="1" applyAlignment="1">
      <alignment horizontal="center"/>
    </xf>
    <xf numFmtId="0" fontId="65" fillId="0" borderId="27" xfId="118" applyFont="1" applyBorder="1" applyAlignment="1">
      <alignment vertical="top" wrapText="1"/>
    </xf>
    <xf numFmtId="0" fontId="49" fillId="0" borderId="27" xfId="118" applyFont="1" applyFill="1" applyBorder="1" applyAlignment="1"/>
    <xf numFmtId="0" fontId="49" fillId="46" borderId="27" xfId="118" applyFont="1" applyFill="1" applyBorder="1" applyAlignment="1">
      <alignment vertical="top" wrapText="1"/>
    </xf>
    <xf numFmtId="0" fontId="49" fillId="46" borderId="27" xfId="118" applyFont="1" applyFill="1" applyBorder="1" applyAlignment="1">
      <alignment vertical="center" wrapText="1"/>
    </xf>
    <xf numFmtId="169" fontId="49" fillId="46" borderId="27" xfId="118" applyNumberFormat="1" applyFont="1" applyFill="1" applyBorder="1" applyAlignment="1">
      <alignment vertical="center" wrapText="1"/>
    </xf>
    <xf numFmtId="4" fontId="49" fillId="46" borderId="27" xfId="118" applyNumberFormat="1" applyFont="1" applyFill="1" applyBorder="1" applyAlignment="1">
      <alignment vertical="center" wrapText="1"/>
    </xf>
    <xf numFmtId="4" fontId="49" fillId="46" borderId="9" xfId="118" applyNumberFormat="1" applyFont="1" applyFill="1" applyBorder="1" applyAlignment="1">
      <alignment vertical="center" wrapText="1"/>
    </xf>
    <xf numFmtId="0" fontId="31" fillId="0" borderId="0" xfId="118" applyFont="1"/>
    <xf numFmtId="0" fontId="49" fillId="43" borderId="27" xfId="118" applyFont="1" applyFill="1" applyBorder="1"/>
    <xf numFmtId="4" fontId="49" fillId="43" borderId="27" xfId="118" applyNumberFormat="1" applyFont="1" applyFill="1" applyBorder="1"/>
    <xf numFmtId="4" fontId="49" fillId="43" borderId="9" xfId="118" applyNumberFormat="1" applyFont="1" applyFill="1" applyBorder="1"/>
    <xf numFmtId="0" fontId="39" fillId="0" borderId="0" xfId="118" applyFont="1"/>
    <xf numFmtId="4" fontId="39" fillId="0" borderId="0" xfId="118" applyNumberFormat="1" applyFont="1"/>
    <xf numFmtId="4" fontId="13" fillId="45" borderId="27" xfId="118" applyNumberFormat="1" applyFont="1" applyFill="1" applyBorder="1" applyAlignment="1">
      <alignment horizontal="center" vertical="center" wrapText="1"/>
    </xf>
    <xf numFmtId="4" fontId="13" fillId="45" borderId="27" xfId="119" applyNumberFormat="1" applyFont="1" applyFill="1" applyBorder="1" applyAlignment="1">
      <alignment horizontal="center" vertical="center" wrapText="1"/>
    </xf>
    <xf numFmtId="4" fontId="39" fillId="45" borderId="27" xfId="118" applyNumberFormat="1" applyFont="1" applyFill="1" applyBorder="1"/>
    <xf numFmtId="0" fontId="69" fillId="0" borderId="0" xfId="120" applyNumberFormat="1" applyFont="1" applyAlignment="1">
      <alignment wrapText="1"/>
    </xf>
    <xf numFmtId="0" fontId="68" fillId="0" borderId="0" xfId="120"/>
    <xf numFmtId="170" fontId="68" fillId="0" borderId="0" xfId="120" applyNumberFormat="1"/>
    <xf numFmtId="0" fontId="70" fillId="0" borderId="0" xfId="120" applyNumberFormat="1" applyFont="1" applyAlignment="1">
      <alignment wrapText="1"/>
    </xf>
    <xf numFmtId="0" fontId="71" fillId="0" borderId="0" xfId="120" applyNumberFormat="1" applyFont="1" applyAlignment="1">
      <alignment vertical="top" wrapText="1"/>
    </xf>
    <xf numFmtId="4" fontId="71" fillId="0" borderId="0" xfId="120" applyNumberFormat="1" applyFont="1" applyAlignment="1">
      <alignment vertical="top" wrapText="1"/>
    </xf>
    <xf numFmtId="0" fontId="72" fillId="49" borderId="30" xfId="120" applyNumberFormat="1" applyFont="1" applyFill="1" applyBorder="1" applyAlignment="1">
      <alignment vertical="top" wrapText="1"/>
    </xf>
    <xf numFmtId="170" fontId="72" fillId="49" borderId="30" xfId="120" applyNumberFormat="1" applyFont="1" applyFill="1" applyBorder="1" applyAlignment="1">
      <alignment vertical="top" wrapText="1"/>
    </xf>
    <xf numFmtId="0" fontId="72" fillId="49" borderId="30" xfId="120" applyNumberFormat="1" applyFont="1" applyFill="1" applyBorder="1" applyAlignment="1">
      <alignment vertical="top" wrapText="1"/>
    </xf>
    <xf numFmtId="0" fontId="72" fillId="49" borderId="31" xfId="120" applyNumberFormat="1" applyFont="1" applyFill="1" applyBorder="1" applyAlignment="1">
      <alignment vertical="top" wrapText="1"/>
    </xf>
    <xf numFmtId="170" fontId="72" fillId="49" borderId="31" xfId="120" applyNumberFormat="1" applyFont="1" applyFill="1" applyBorder="1" applyAlignment="1">
      <alignment vertical="top" wrapText="1"/>
    </xf>
    <xf numFmtId="0" fontId="72" fillId="49" borderId="31" xfId="120" applyNumberFormat="1" applyFont="1" applyFill="1" applyBorder="1" applyAlignment="1">
      <alignment horizontal="center" vertical="top" wrapText="1"/>
    </xf>
    <xf numFmtId="0" fontId="72" fillId="49" borderId="32" xfId="120" applyNumberFormat="1" applyFont="1" applyFill="1" applyBorder="1" applyAlignment="1">
      <alignment vertical="top" wrapText="1"/>
    </xf>
    <xf numFmtId="4" fontId="72" fillId="49" borderId="32" xfId="120" applyNumberFormat="1" applyFont="1" applyFill="1" applyBorder="1" applyAlignment="1">
      <alignment horizontal="right" vertical="top" wrapText="1"/>
    </xf>
    <xf numFmtId="170" fontId="72" fillId="49" borderId="32" xfId="120" applyNumberFormat="1" applyFont="1" applyFill="1" applyBorder="1" applyAlignment="1">
      <alignment horizontal="right" vertical="top" wrapText="1"/>
    </xf>
    <xf numFmtId="0" fontId="72" fillId="49" borderId="32" xfId="120" applyNumberFormat="1" applyFont="1" applyFill="1" applyBorder="1" applyAlignment="1">
      <alignment horizontal="right" vertical="top" wrapText="1"/>
    </xf>
    <xf numFmtId="0" fontId="35" fillId="0" borderId="32" xfId="120" applyNumberFormat="1" applyFont="1" applyBorder="1" applyAlignment="1">
      <alignment vertical="top" wrapText="1" indent="2"/>
    </xf>
    <xf numFmtId="4" fontId="35" fillId="0" borderId="32" xfId="120" applyNumberFormat="1" applyFont="1" applyBorder="1" applyAlignment="1">
      <alignment horizontal="right" vertical="top" wrapText="1"/>
    </xf>
    <xf numFmtId="170" fontId="35" fillId="0" borderId="32" xfId="120" applyNumberFormat="1" applyFont="1" applyBorder="1" applyAlignment="1">
      <alignment horizontal="right" vertical="top" wrapText="1"/>
    </xf>
    <xf numFmtId="0" fontId="35" fillId="0" borderId="32" xfId="120" applyNumberFormat="1" applyFont="1" applyBorder="1" applyAlignment="1">
      <alignment horizontal="right" vertical="top" wrapText="1"/>
    </xf>
    <xf numFmtId="0" fontId="35" fillId="50" borderId="32" xfId="120" applyNumberFormat="1" applyFont="1" applyFill="1" applyBorder="1" applyAlignment="1">
      <alignment vertical="top" wrapText="1" indent="2"/>
    </xf>
    <xf numFmtId="4" fontId="35" fillId="34" borderId="32" xfId="120" applyNumberFormat="1" applyFont="1" applyFill="1" applyBorder="1" applyAlignment="1">
      <alignment horizontal="right" vertical="top" wrapText="1"/>
    </xf>
    <xf numFmtId="0" fontId="73" fillId="0" borderId="32" xfId="121" applyNumberFormat="1" applyFont="1" applyBorder="1" applyAlignment="1">
      <alignment vertical="top" wrapText="1"/>
    </xf>
    <xf numFmtId="4" fontId="73" fillId="0" borderId="32" xfId="120" applyNumberFormat="1" applyFont="1" applyBorder="1" applyAlignment="1">
      <alignment horizontal="right" vertical="top" wrapText="1"/>
    </xf>
    <xf numFmtId="170" fontId="73" fillId="0" borderId="32" xfId="120" applyNumberFormat="1" applyFont="1" applyBorder="1" applyAlignment="1">
      <alignment horizontal="right" vertical="top" wrapText="1"/>
    </xf>
    <xf numFmtId="4" fontId="73" fillId="44" borderId="32" xfId="120" applyNumberFormat="1" applyFont="1" applyFill="1" applyBorder="1" applyAlignment="1">
      <alignment horizontal="right" vertical="top" wrapText="1"/>
    </xf>
    <xf numFmtId="0" fontId="73" fillId="0" borderId="32" xfId="120" applyNumberFormat="1" applyFont="1" applyBorder="1" applyAlignment="1">
      <alignment horizontal="right" vertical="top" wrapText="1"/>
    </xf>
    <xf numFmtId="0" fontId="74" fillId="0" borderId="0" xfId="0" applyFont="1"/>
    <xf numFmtId="0" fontId="73" fillId="0" borderId="32" xfId="120" applyNumberFormat="1" applyFont="1" applyBorder="1" applyAlignment="1">
      <alignment vertical="top" wrapText="1" indent="2"/>
    </xf>
    <xf numFmtId="4" fontId="35" fillId="44" borderId="32" xfId="120" applyNumberFormat="1" applyFont="1" applyFill="1" applyBorder="1" applyAlignment="1">
      <alignment horizontal="right" vertical="top" wrapText="1"/>
    </xf>
    <xf numFmtId="4" fontId="35" fillId="51" borderId="32" xfId="120" applyNumberFormat="1" applyFont="1" applyFill="1" applyBorder="1" applyAlignment="1">
      <alignment horizontal="right" vertical="top" wrapText="1"/>
    </xf>
    <xf numFmtId="0" fontId="35" fillId="51" borderId="32" xfId="120" applyNumberFormat="1" applyFont="1" applyFill="1" applyBorder="1" applyAlignment="1">
      <alignment vertical="top" wrapText="1" indent="2"/>
    </xf>
    <xf numFmtId="0" fontId="73" fillId="42" borderId="32" xfId="121" applyNumberFormat="1" applyFont="1" applyFill="1" applyBorder="1" applyAlignment="1">
      <alignment vertical="top" wrapText="1"/>
    </xf>
    <xf numFmtId="4" fontId="73" fillId="42" borderId="32" xfId="120" applyNumberFormat="1" applyFont="1" applyFill="1" applyBorder="1" applyAlignment="1">
      <alignment horizontal="right" vertical="top" wrapText="1"/>
    </xf>
    <xf numFmtId="4" fontId="35" fillId="42" borderId="32" xfId="120" applyNumberFormat="1" applyFont="1" applyFill="1" applyBorder="1" applyAlignment="1">
      <alignment horizontal="right" vertical="top" wrapText="1"/>
    </xf>
    <xf numFmtId="0" fontId="35" fillId="42" borderId="32" xfId="120" applyNumberFormat="1" applyFont="1" applyFill="1" applyBorder="1" applyAlignment="1">
      <alignment horizontal="right" vertical="top" wrapText="1"/>
    </xf>
    <xf numFmtId="0" fontId="0" fillId="42" borderId="0" xfId="0" applyFill="1"/>
    <xf numFmtId="2" fontId="35" fillId="0" borderId="32" xfId="120" applyNumberFormat="1" applyFont="1" applyBorder="1" applyAlignment="1">
      <alignment horizontal="right" vertical="top" wrapText="1"/>
    </xf>
    <xf numFmtId="170" fontId="73" fillId="38" borderId="32" xfId="120" applyNumberFormat="1" applyFont="1" applyFill="1" applyBorder="1" applyAlignment="1">
      <alignment horizontal="right" vertical="top" wrapText="1"/>
    </xf>
    <xf numFmtId="0" fontId="72" fillId="49" borderId="30" xfId="120" applyNumberFormat="1" applyFont="1" applyFill="1" applyBorder="1" applyAlignment="1">
      <alignment vertical="top"/>
    </xf>
    <xf numFmtId="4" fontId="72" fillId="49" borderId="30" xfId="120" applyNumberFormat="1" applyFont="1" applyFill="1" applyBorder="1" applyAlignment="1">
      <alignment horizontal="right" vertical="top" wrapText="1"/>
    </xf>
    <xf numFmtId="170" fontId="72" fillId="49" borderId="30" xfId="120" applyNumberFormat="1" applyFont="1" applyFill="1" applyBorder="1" applyAlignment="1">
      <alignment horizontal="right" vertical="top" wrapText="1"/>
    </xf>
    <xf numFmtId="0" fontId="72" fillId="49" borderId="30" xfId="120" applyNumberFormat="1" applyFont="1" applyFill="1" applyBorder="1" applyAlignment="1">
      <alignment horizontal="right" vertical="top" wrapText="1"/>
    </xf>
    <xf numFmtId="170" fontId="0" fillId="0" borderId="0" xfId="0" applyNumberFormat="1"/>
    <xf numFmtId="4" fontId="35" fillId="45" borderId="32" xfId="120" applyNumberFormat="1" applyFont="1" applyFill="1" applyBorder="1" applyAlignment="1">
      <alignment horizontal="right" vertical="top" wrapText="1"/>
    </xf>
    <xf numFmtId="4" fontId="73" fillId="45" borderId="32" xfId="120" applyNumberFormat="1" applyFont="1" applyFill="1" applyBorder="1" applyAlignment="1">
      <alignment horizontal="right" vertical="top" wrapText="1"/>
    </xf>
    <xf numFmtId="0" fontId="69" fillId="0" borderId="0" xfId="122" applyNumberFormat="1" applyFont="1" applyAlignment="1">
      <alignment wrapText="1"/>
    </xf>
    <xf numFmtId="0" fontId="68" fillId="0" borderId="0" xfId="122"/>
    <xf numFmtId="0" fontId="70" fillId="0" borderId="0" xfId="122" applyNumberFormat="1" applyFont="1" applyAlignment="1">
      <alignment wrapText="1"/>
    </xf>
    <xf numFmtId="0" fontId="71" fillId="0" borderId="0" xfId="122" applyNumberFormat="1" applyFont="1" applyAlignment="1">
      <alignment vertical="top" wrapText="1"/>
    </xf>
    <xf numFmtId="0" fontId="72" fillId="49" borderId="30" xfId="122" applyNumberFormat="1" applyFont="1" applyFill="1" applyBorder="1" applyAlignment="1">
      <alignment vertical="top" wrapText="1"/>
    </xf>
    <xf numFmtId="0" fontId="72" fillId="49" borderId="33" xfId="122" applyNumberFormat="1" applyFont="1" applyFill="1" applyBorder="1" applyAlignment="1">
      <alignment vertical="top" wrapText="1"/>
    </xf>
    <xf numFmtId="0" fontId="72" fillId="49" borderId="32" xfId="122" applyNumberFormat="1" applyFont="1" applyFill="1" applyBorder="1" applyAlignment="1">
      <alignment vertical="top" wrapText="1"/>
    </xf>
    <xf numFmtId="4" fontId="72" fillId="49" borderId="32" xfId="122" applyNumberFormat="1" applyFont="1" applyFill="1" applyBorder="1" applyAlignment="1">
      <alignment horizontal="right" vertical="top" wrapText="1"/>
    </xf>
    <xf numFmtId="0" fontId="72" fillId="49" borderId="32" xfId="122" applyNumberFormat="1" applyFont="1" applyFill="1" applyBorder="1" applyAlignment="1">
      <alignment horizontal="right" vertical="top" wrapText="1"/>
    </xf>
    <xf numFmtId="0" fontId="35" fillId="0" borderId="32" xfId="122" applyNumberFormat="1" applyFont="1" applyBorder="1" applyAlignment="1">
      <alignment vertical="top" wrapText="1" indent="2"/>
    </xf>
    <xf numFmtId="0" fontId="35" fillId="0" borderId="32" xfId="122" applyNumberFormat="1" applyFont="1" applyBorder="1" applyAlignment="1">
      <alignment horizontal="right" vertical="top" wrapText="1"/>
    </xf>
    <xf numFmtId="4" fontId="35" fillId="0" borderId="32" xfId="122" applyNumberFormat="1" applyFont="1" applyBorder="1" applyAlignment="1">
      <alignment horizontal="right" vertical="top" wrapText="1"/>
    </xf>
    <xf numFmtId="0" fontId="35" fillId="38" borderId="32" xfId="122" applyNumberFormat="1" applyFont="1" applyFill="1" applyBorder="1" applyAlignment="1">
      <alignment vertical="top" wrapText="1" indent="2"/>
    </xf>
    <xf numFmtId="4" fontId="35" fillId="46" borderId="32" xfId="122" applyNumberFormat="1" applyFont="1" applyFill="1" applyBorder="1" applyAlignment="1">
      <alignment horizontal="right" vertical="top" wrapText="1"/>
    </xf>
    <xf numFmtId="4" fontId="35" fillId="34" borderId="32" xfId="122" applyNumberFormat="1" applyFont="1" applyFill="1" applyBorder="1" applyAlignment="1">
      <alignment horizontal="right" vertical="top" wrapText="1"/>
    </xf>
    <xf numFmtId="0" fontId="72" fillId="49" borderId="30" xfId="122" applyNumberFormat="1" applyFont="1" applyFill="1" applyBorder="1" applyAlignment="1">
      <alignment vertical="top"/>
    </xf>
    <xf numFmtId="4" fontId="72" fillId="49" borderId="30" xfId="122" applyNumberFormat="1" applyFont="1" applyFill="1" applyBorder="1" applyAlignment="1">
      <alignment horizontal="right" vertical="top" wrapText="1"/>
    </xf>
    <xf numFmtId="0" fontId="72" fillId="49" borderId="30" xfId="122" applyNumberFormat="1" applyFont="1" applyFill="1" applyBorder="1" applyAlignment="1">
      <alignment horizontal="right" vertical="top" wrapText="1"/>
    </xf>
    <xf numFmtId="0" fontId="38" fillId="46" borderId="27" xfId="123" applyFont="1" applyFill="1" applyBorder="1" applyAlignment="1">
      <alignment horizontal="center" vertical="center" wrapText="1"/>
    </xf>
    <xf numFmtId="4" fontId="38" fillId="46" borderId="27" xfId="123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5" fillId="0" borderId="27" xfId="123" applyFont="1" applyBorder="1" applyAlignment="1">
      <alignment vertical="top" wrapText="1"/>
    </xf>
    <xf numFmtId="4" fontId="15" fillId="0" borderId="27" xfId="123" applyNumberFormat="1" applyFont="1" applyBorder="1" applyAlignment="1">
      <alignment horizontal="right" vertical="top" wrapText="1"/>
    </xf>
    <xf numFmtId="0" fontId="15" fillId="0" borderId="27" xfId="123" applyFont="1" applyBorder="1" applyAlignment="1">
      <alignment horizontal="right" vertical="top" wrapText="1"/>
    </xf>
    <xf numFmtId="4" fontId="35" fillId="0" borderId="27" xfId="123" applyNumberFormat="1" applyFont="1" applyBorder="1" applyAlignment="1">
      <alignment horizontal="right" vertical="top" wrapText="1"/>
    </xf>
    <xf numFmtId="0" fontId="35" fillId="0" borderId="27" xfId="123" applyFont="1" applyBorder="1" applyAlignment="1">
      <alignment horizontal="right" vertical="top" wrapText="1"/>
    </xf>
    <xf numFmtId="4" fontId="39" fillId="0" borderId="27" xfId="0" applyNumberFormat="1" applyFont="1" applyBorder="1"/>
    <xf numFmtId="4" fontId="39" fillId="0" borderId="0" xfId="0" applyNumberFormat="1" applyFont="1"/>
    <xf numFmtId="0" fontId="39" fillId="0" borderId="0" xfId="0" applyFont="1"/>
    <xf numFmtId="0" fontId="15" fillId="0" borderId="27" xfId="124" applyFont="1" applyBorder="1" applyAlignment="1">
      <alignment vertical="top" wrapText="1"/>
    </xf>
    <xf numFmtId="4" fontId="39" fillId="48" borderId="27" xfId="0" applyNumberFormat="1" applyFont="1" applyFill="1" applyBorder="1"/>
    <xf numFmtId="4" fontId="15" fillId="0" borderId="34" xfId="124" applyNumberFormat="1" applyFont="1" applyBorder="1" applyAlignment="1">
      <alignment horizontal="right" vertical="top" wrapText="1"/>
    </xf>
    <xf numFmtId="0" fontId="35" fillId="0" borderId="27" xfId="124" applyFont="1" applyBorder="1" applyAlignment="1">
      <alignment vertical="top" wrapText="1"/>
    </xf>
    <xf numFmtId="0" fontId="35" fillId="0" borderId="27" xfId="124" applyFont="1" applyBorder="1" applyAlignment="1">
      <alignment horizontal="right" vertical="top" wrapText="1"/>
    </xf>
    <xf numFmtId="0" fontId="13" fillId="0" borderId="35" xfId="0" applyFont="1" applyBorder="1" applyAlignment="1">
      <alignment wrapText="1"/>
    </xf>
    <xf numFmtId="0" fontId="38" fillId="46" borderId="27" xfId="123" applyFont="1" applyFill="1" applyBorder="1" applyAlignment="1">
      <alignment vertical="top"/>
    </xf>
    <xf numFmtId="4" fontId="38" fillId="46" borderId="27" xfId="123" applyNumberFormat="1" applyFont="1" applyFill="1" applyBorder="1" applyAlignment="1">
      <alignment horizontal="right" vertical="top" wrapText="1"/>
    </xf>
    <xf numFmtId="0" fontId="75" fillId="0" borderId="0" xfId="0" applyFont="1"/>
    <xf numFmtId="4" fontId="15" fillId="45" borderId="27" xfId="123" applyNumberFormat="1" applyFont="1" applyFill="1" applyBorder="1" applyAlignment="1">
      <alignment horizontal="right" vertical="top" wrapText="1"/>
    </xf>
    <xf numFmtId="4" fontId="35" fillId="45" borderId="27" xfId="124" applyNumberFormat="1" applyFont="1" applyFill="1" applyBorder="1" applyAlignment="1">
      <alignment horizontal="right" vertical="top" wrapText="1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46" borderId="27" xfId="0" applyFont="1" applyFill="1" applyBorder="1" applyAlignment="1">
      <alignment horizontal="center" vertical="center" wrapText="1"/>
    </xf>
    <xf numFmtId="0" fontId="49" fillId="46" borderId="27" xfId="0" applyFont="1" applyFill="1" applyBorder="1" applyAlignment="1">
      <alignment horizontal="center" vertical="center"/>
    </xf>
    <xf numFmtId="0" fontId="38" fillId="47" borderId="27" xfId="0" applyFont="1" applyFill="1" applyBorder="1" applyAlignment="1">
      <alignment horizontal="center" vertical="center" wrapText="1"/>
    </xf>
    <xf numFmtId="0" fontId="49" fillId="47" borderId="27" xfId="0" applyFont="1" applyFill="1" applyBorder="1" applyAlignment="1">
      <alignment horizontal="center" vertical="center"/>
    </xf>
    <xf numFmtId="0" fontId="38" fillId="38" borderId="27" xfId="0" applyFont="1" applyFill="1" applyBorder="1" applyAlignment="1">
      <alignment horizontal="center" vertical="center" wrapText="1"/>
    </xf>
    <xf numFmtId="0" fontId="49" fillId="38" borderId="27" xfId="0" applyFont="1" applyFill="1" applyBorder="1" applyAlignment="1">
      <alignment horizontal="center" vertical="center"/>
    </xf>
    <xf numFmtId="3" fontId="15" fillId="0" borderId="27" xfId="0" applyNumberFormat="1" applyFont="1" applyBorder="1" applyAlignment="1">
      <alignment horizontal="left" vertical="top" wrapText="1"/>
    </xf>
    <xf numFmtId="3" fontId="15" fillId="44" borderId="27" xfId="0" applyNumberFormat="1" applyFont="1" applyFill="1" applyBorder="1" applyAlignment="1">
      <alignment horizontal="center" vertical="top" wrapText="1"/>
    </xf>
    <xf numFmtId="0" fontId="39" fillId="0" borderId="27" xfId="0" applyFont="1" applyBorder="1" applyAlignment="1">
      <alignment vertical="top"/>
    </xf>
    <xf numFmtId="3" fontId="39" fillId="0" borderId="27" xfId="0" applyNumberFormat="1" applyFont="1" applyBorder="1" applyAlignment="1">
      <alignment vertical="top"/>
    </xf>
    <xf numFmtId="0" fontId="13" fillId="44" borderId="27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top"/>
    </xf>
    <xf numFmtId="3" fontId="15" fillId="48" borderId="27" xfId="0" applyNumberFormat="1" applyFont="1" applyFill="1" applyBorder="1" applyAlignment="1">
      <alignment horizontal="left" vertical="top" wrapText="1"/>
    </xf>
    <xf numFmtId="3" fontId="15" fillId="48" borderId="27" xfId="0" applyNumberFormat="1" applyFont="1" applyFill="1" applyBorder="1" applyAlignment="1">
      <alignment horizontal="center" vertical="top" wrapText="1"/>
    </xf>
    <xf numFmtId="3" fontId="39" fillId="48" borderId="27" xfId="0" applyNumberFormat="1" applyFont="1" applyFill="1" applyBorder="1" applyAlignment="1">
      <alignment vertical="top"/>
    </xf>
    <xf numFmtId="3" fontId="15" fillId="0" borderId="27" xfId="0" applyNumberFormat="1" applyFont="1" applyBorder="1" applyAlignment="1">
      <alignment horizontal="center" vertical="top" wrapText="1"/>
    </xf>
    <xf numFmtId="3" fontId="15" fillId="0" borderId="27" xfId="0" applyNumberFormat="1" applyFont="1" applyBorder="1" applyAlignment="1">
      <alignment horizontal="center" vertical="top"/>
    </xf>
    <xf numFmtId="0" fontId="15" fillId="0" borderId="27" xfId="0" applyFont="1" applyBorder="1" applyAlignment="1">
      <alignment horizontal="left" vertical="top"/>
    </xf>
    <xf numFmtId="0" fontId="15" fillId="0" borderId="26" xfId="0" applyFont="1" applyBorder="1" applyAlignment="1">
      <alignment vertical="top"/>
    </xf>
    <xf numFmtId="0" fontId="15" fillId="0" borderId="27" xfId="0" applyFont="1" applyBorder="1" applyAlignment="1">
      <alignment horizontal="left" vertical="top" wrapText="1"/>
    </xf>
    <xf numFmtId="0" fontId="15" fillId="44" borderId="27" xfId="0" applyFont="1" applyFill="1" applyBorder="1" applyAlignment="1">
      <alignment horizontal="center" vertical="top"/>
    </xf>
    <xf numFmtId="3" fontId="15" fillId="44" borderId="27" xfId="0" applyNumberFormat="1" applyFont="1" applyFill="1" applyBorder="1" applyAlignment="1">
      <alignment horizontal="center" vertical="top"/>
    </xf>
    <xf numFmtId="0" fontId="15" fillId="0" borderId="27" xfId="0" applyFont="1" applyBorder="1" applyAlignment="1">
      <alignment horizontal="center" vertical="top"/>
    </xf>
    <xf numFmtId="0" fontId="76" fillId="53" borderId="27" xfId="0" applyFont="1" applyFill="1" applyBorder="1" applyAlignment="1">
      <alignment horizontal="left" vertical="center"/>
    </xf>
    <xf numFmtId="0" fontId="76" fillId="53" borderId="27" xfId="0" applyFont="1" applyFill="1" applyBorder="1" applyAlignment="1">
      <alignment horizontal="center" vertical="center"/>
    </xf>
    <xf numFmtId="3" fontId="76" fillId="53" borderId="27" xfId="0" applyNumberFormat="1" applyFont="1" applyFill="1" applyBorder="1" applyAlignment="1">
      <alignment horizontal="center" vertical="center"/>
    </xf>
    <xf numFmtId="4" fontId="76" fillId="53" borderId="27" xfId="0" applyNumberFormat="1" applyFont="1" applyFill="1" applyBorder="1" applyAlignment="1">
      <alignment horizontal="center" vertical="center"/>
    </xf>
    <xf numFmtId="0" fontId="15" fillId="44" borderId="0" xfId="0" applyFont="1" applyFill="1"/>
    <xf numFmtId="3" fontId="15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applyFont="1"/>
    <xf numFmtId="0" fontId="15" fillId="44" borderId="0" xfId="0" applyFont="1" applyFill="1" applyAlignment="1">
      <alignment wrapText="1"/>
    </xf>
    <xf numFmtId="0" fontId="15" fillId="0" borderId="0" xfId="0" applyFont="1" applyAlignment="1">
      <alignment horizontal="left"/>
    </xf>
    <xf numFmtId="3" fontId="15" fillId="45" borderId="27" xfId="0" applyNumberFormat="1" applyFont="1" applyFill="1" applyBorder="1" applyAlignment="1">
      <alignment horizontal="center" vertical="top" wrapText="1"/>
    </xf>
    <xf numFmtId="3" fontId="39" fillId="0" borderId="0" xfId="0" applyNumberFormat="1" applyFont="1"/>
    <xf numFmtId="3" fontId="39" fillId="45" borderId="27" xfId="0" applyNumberFormat="1" applyFont="1" applyFill="1" applyBorder="1" applyAlignment="1">
      <alignment horizontal="center" vertical="center"/>
    </xf>
    <xf numFmtId="0" fontId="31" fillId="46" borderId="27" xfId="0" applyFont="1" applyFill="1" applyBorder="1" applyAlignment="1">
      <alignment wrapText="1"/>
    </xf>
    <xf numFmtId="4" fontId="31" fillId="46" borderId="27" xfId="0" applyNumberFormat="1" applyFont="1" applyFill="1" applyBorder="1" applyAlignment="1">
      <alignment horizontal="center" vertical="center" wrapText="1"/>
    </xf>
    <xf numFmtId="0" fontId="0" fillId="0" borderId="27" xfId="0" applyFont="1" applyBorder="1"/>
    <xf numFmtId="4" fontId="0" fillId="0" borderId="27" xfId="0" applyNumberFormat="1" applyFont="1" applyBorder="1"/>
    <xf numFmtId="4" fontId="0" fillId="0" borderId="0" xfId="0" applyNumberFormat="1" applyFont="1"/>
    <xf numFmtId="0" fontId="31" fillId="46" borderId="27" xfId="0" applyFont="1" applyFill="1" applyBorder="1"/>
    <xf numFmtId="4" fontId="31" fillId="46" borderId="27" xfId="0" applyNumberFormat="1" applyFont="1" applyFill="1" applyBorder="1"/>
    <xf numFmtId="0" fontId="0" fillId="0" borderId="0" xfId="0" applyFont="1"/>
    <xf numFmtId="14" fontId="77" fillId="0" borderId="0" xfId="0" applyNumberFormat="1" applyFont="1" applyAlignment="1">
      <alignment horizontal="left" vertical="center" wrapText="1"/>
    </xf>
    <xf numFmtId="0" fontId="77" fillId="0" borderId="0" xfId="0" applyFont="1" applyAlignment="1">
      <alignment vertical="center" wrapText="1"/>
    </xf>
    <xf numFmtId="4" fontId="65" fillId="45" borderId="27" xfId="118" applyNumberFormat="1" applyFont="1" applyFill="1" applyBorder="1"/>
    <xf numFmtId="0" fontId="15" fillId="0" borderId="13" xfId="44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5" xfId="44" applyFont="1" applyFill="1" applyBorder="1" applyAlignment="1" applyProtection="1">
      <alignment horizontal="center" vertical="center" wrapText="1"/>
      <protection locked="0"/>
    </xf>
    <xf numFmtId="49" fontId="15" fillId="0" borderId="9" xfId="44" applyNumberFormat="1" applyFont="1" applyFill="1" applyBorder="1" applyAlignment="1" applyProtection="1">
      <alignment horizontal="center" vertical="center" wrapText="1"/>
      <protection locked="0"/>
    </xf>
    <xf numFmtId="49" fontId="15" fillId="0" borderId="10" xfId="44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44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44" applyFont="1" applyFill="1" applyBorder="1" applyAlignment="1" applyProtection="1">
      <alignment horizontal="center" vertical="center" wrapText="1"/>
      <protection locked="0"/>
    </xf>
    <xf numFmtId="0" fontId="15" fillId="0" borderId="10" xfId="44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Fill="1" applyAlignment="1"/>
    <xf numFmtId="0" fontId="0" fillId="0" borderId="0" xfId="0" applyAlignment="1"/>
    <xf numFmtId="1" fontId="15" fillId="0" borderId="13" xfId="44" applyNumberFormat="1" applyFont="1" applyFill="1" applyBorder="1" applyAlignment="1" applyProtection="1">
      <alignment horizontal="center" vertical="center" wrapText="1"/>
      <protection locked="0"/>
    </xf>
    <xf numFmtId="49" fontId="15" fillId="0" borderId="13" xfId="44" applyNumberFormat="1" applyFont="1" applyFill="1" applyBorder="1" applyAlignment="1" applyProtection="1">
      <alignment horizontal="center" vertical="center" wrapText="1"/>
      <protection locked="0"/>
    </xf>
    <xf numFmtId="4" fontId="15" fillId="0" borderId="13" xfId="44" applyNumberFormat="1" applyFont="1" applyFill="1" applyBorder="1" applyAlignment="1" applyProtection="1">
      <alignment horizontal="center" vertical="center" wrapText="1"/>
      <protection hidden="1"/>
    </xf>
    <xf numFmtId="4" fontId="15" fillId="0" borderId="13" xfId="44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NumberFormat="1" applyFont="1" applyFill="1" applyBorder="1" applyAlignment="1" applyProtection="1">
      <alignment horizontal="left" wrapText="1"/>
      <protection hidden="1"/>
    </xf>
    <xf numFmtId="0" fontId="15" fillId="0" borderId="13" xfId="44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Fill="1" applyAlignment="1">
      <alignment wrapText="1"/>
    </xf>
    <xf numFmtId="0" fontId="15" fillId="0" borderId="13" xfId="44" applyNumberFormat="1" applyFont="1" applyFill="1" applyBorder="1" applyAlignment="1" applyProtection="1">
      <alignment horizontal="center" vertical="center" wrapText="1"/>
      <protection hidden="1"/>
    </xf>
    <xf numFmtId="0" fontId="38" fillId="52" borderId="26" xfId="0" applyFont="1" applyFill="1" applyBorder="1" applyAlignment="1">
      <alignment horizontal="center" vertical="center" wrapText="1"/>
    </xf>
    <xf numFmtId="0" fontId="38" fillId="52" borderId="6" xfId="0" applyFont="1" applyFill="1" applyBorder="1" applyAlignment="1">
      <alignment horizontal="center" vertical="center" wrapText="1"/>
    </xf>
    <xf numFmtId="0" fontId="49" fillId="38" borderId="27" xfId="0" applyFont="1" applyFill="1" applyBorder="1" applyAlignment="1">
      <alignment horizontal="center" vertical="center"/>
    </xf>
    <xf numFmtId="0" fontId="38" fillId="38" borderId="2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46" borderId="27" xfId="0" applyFont="1" applyFill="1" applyBorder="1" applyAlignment="1">
      <alignment horizontal="center" vertical="center"/>
    </xf>
    <xf numFmtId="0" fontId="38" fillId="47" borderId="27" xfId="0" applyFont="1" applyFill="1" applyBorder="1" applyAlignment="1">
      <alignment horizontal="center" vertical="center"/>
    </xf>
    <xf numFmtId="0" fontId="72" fillId="49" borderId="30" xfId="122" applyNumberFormat="1" applyFont="1" applyFill="1" applyBorder="1" applyAlignment="1">
      <alignment vertical="top" wrapText="1"/>
    </xf>
    <xf numFmtId="0" fontId="72" fillId="49" borderId="31" xfId="122" applyNumberFormat="1" applyFont="1" applyFill="1" applyBorder="1" applyAlignment="1">
      <alignment vertical="top" wrapText="1"/>
    </xf>
    <xf numFmtId="0" fontId="72" fillId="49" borderId="33" xfId="122" applyNumberFormat="1" applyFont="1" applyFill="1" applyBorder="1" applyAlignment="1">
      <alignment vertical="top" wrapText="1"/>
    </xf>
    <xf numFmtId="0" fontId="72" fillId="49" borderId="30" xfId="120" applyNumberFormat="1" applyFont="1" applyFill="1" applyBorder="1" applyAlignment="1">
      <alignment vertical="top" wrapText="1"/>
    </xf>
    <xf numFmtId="0" fontId="49" fillId="48" borderId="27" xfId="118" applyFont="1" applyFill="1" applyBorder="1" applyAlignment="1">
      <alignment horizontal="center"/>
    </xf>
    <xf numFmtId="0" fontId="47" fillId="47" borderId="27" xfId="118" applyFont="1" applyFill="1" applyBorder="1" applyAlignment="1">
      <alignment horizontal="center" vertical="center"/>
    </xf>
    <xf numFmtId="0" fontId="49" fillId="39" borderId="27" xfId="118" applyFont="1" applyFill="1" applyBorder="1" applyAlignment="1">
      <alignment horizontal="center"/>
    </xf>
    <xf numFmtId="0" fontId="15" fillId="0" borderId="7" xfId="118" applyFont="1" applyFill="1" applyBorder="1" applyAlignment="1">
      <alignment horizontal="center" vertical="center" wrapText="1"/>
    </xf>
    <xf numFmtId="0" fontId="15" fillId="0" borderId="28" xfId="118" applyFont="1" applyFill="1" applyBorder="1" applyAlignment="1">
      <alignment horizontal="center" vertical="center" wrapText="1"/>
    </xf>
    <xf numFmtId="0" fontId="15" fillId="0" borderId="6" xfId="118" applyFont="1" applyFill="1" applyBorder="1" applyAlignment="1">
      <alignment horizontal="center" vertical="center" wrapText="1"/>
    </xf>
    <xf numFmtId="0" fontId="38" fillId="48" borderId="27" xfId="118" applyFont="1" applyFill="1" applyBorder="1" applyAlignment="1">
      <alignment horizontal="center"/>
    </xf>
    <xf numFmtId="0" fontId="47" fillId="47" borderId="27" xfId="118" applyFont="1" applyFill="1" applyBorder="1" applyAlignment="1">
      <alignment horizontal="center" vertical="center" wrapText="1"/>
    </xf>
    <xf numFmtId="0" fontId="50" fillId="46" borderId="26" xfId="0" applyFont="1" applyFill="1" applyBorder="1" applyAlignment="1">
      <alignment horizontal="center" vertical="top" wrapText="1"/>
    </xf>
    <xf numFmtId="0" fontId="50" fillId="46" borderId="6" xfId="0" applyFont="1" applyFill="1" applyBorder="1" applyAlignment="1">
      <alignment horizontal="center" vertical="top" wrapText="1"/>
    </xf>
    <xf numFmtId="0" fontId="44" fillId="46" borderId="26" xfId="0" applyFont="1" applyFill="1" applyBorder="1" applyAlignment="1">
      <alignment horizontal="center" vertical="center" wrapText="1"/>
    </xf>
    <xf numFmtId="0" fontId="44" fillId="46" borderId="6" xfId="0" applyFont="1" applyFill="1" applyBorder="1" applyAlignment="1">
      <alignment horizontal="center" vertical="center" wrapText="1"/>
    </xf>
    <xf numFmtId="0" fontId="50" fillId="46" borderId="27" xfId="0" applyFont="1" applyFill="1" applyBorder="1" applyAlignment="1">
      <alignment horizontal="center" vertical="top"/>
    </xf>
    <xf numFmtId="4" fontId="0" fillId="0" borderId="7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4" fillId="0" borderId="7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4" fontId="55" fillId="0" borderId="7" xfId="0" applyNumberFormat="1" applyFont="1" applyFill="1" applyBorder="1" applyAlignment="1">
      <alignment horizontal="center" vertical="center" wrapText="1"/>
    </xf>
    <xf numFmtId="4" fontId="55" fillId="0" borderId="6" xfId="0" applyNumberFormat="1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5" fillId="0" borderId="7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2" fillId="41" borderId="7" xfId="0" applyFont="1" applyFill="1" applyBorder="1" applyAlignment="1">
      <alignment horizontal="center" vertical="center"/>
    </xf>
    <xf numFmtId="0" fontId="42" fillId="41" borderId="28" xfId="0" applyFont="1" applyFill="1" applyBorder="1" applyAlignment="1">
      <alignment horizontal="center" vertical="center"/>
    </xf>
    <xf numFmtId="0" fontId="42" fillId="41" borderId="1" xfId="0" applyFont="1" applyFill="1" applyBorder="1" applyAlignment="1">
      <alignment horizontal="center" vertical="center"/>
    </xf>
    <xf numFmtId="0" fontId="42" fillId="41" borderId="7" xfId="0" applyFont="1" applyFill="1" applyBorder="1" applyAlignment="1">
      <alignment horizontal="center" vertical="center" wrapText="1"/>
    </xf>
    <xf numFmtId="0" fontId="42" fillId="41" borderId="6" xfId="0" applyFont="1" applyFill="1" applyBorder="1" applyAlignment="1">
      <alignment horizontal="center" vertical="center" wrapText="1"/>
    </xf>
    <xf numFmtId="0" fontId="42" fillId="41" borderId="7" xfId="0" applyFont="1" applyFill="1" applyBorder="1" applyAlignment="1">
      <alignment horizontal="left" vertical="center" wrapText="1"/>
    </xf>
    <xf numFmtId="0" fontId="42" fillId="41" borderId="6" xfId="0" applyFont="1" applyFill="1" applyBorder="1" applyAlignment="1">
      <alignment horizontal="left" vertical="center" wrapText="1"/>
    </xf>
  </cellXfs>
  <cellStyles count="125">
    <cellStyle name="20% — акцент1" xfId="86" builtinId="30" customBuiltin="1"/>
    <cellStyle name="20% — акцент2" xfId="90" builtinId="34" customBuiltin="1"/>
    <cellStyle name="20% — акцент3" xfId="94" builtinId="38" customBuiltin="1"/>
    <cellStyle name="20% — акцент4" xfId="98" builtinId="42" customBuiltin="1"/>
    <cellStyle name="20% — акцент5" xfId="102" builtinId="46" customBuiltin="1"/>
    <cellStyle name="20% — акцент6" xfId="106" builtinId="50" customBuiltin="1"/>
    <cellStyle name="40% — акцент1" xfId="87" builtinId="31" customBuiltin="1"/>
    <cellStyle name="40% — акцент2" xfId="91" builtinId="35" customBuiltin="1"/>
    <cellStyle name="40% — акцент3" xfId="95" builtinId="39" customBuiltin="1"/>
    <cellStyle name="40% — акцент4" xfId="99" builtinId="43" customBuiltin="1"/>
    <cellStyle name="40% — акцент5" xfId="103" builtinId="47" customBuiltin="1"/>
    <cellStyle name="40% — акцент6" xfId="107" builtinId="51" customBuiltin="1"/>
    <cellStyle name="60% — акцент1" xfId="88" builtinId="32" customBuiltin="1"/>
    <cellStyle name="60% — акцент2" xfId="92" builtinId="36" customBuiltin="1"/>
    <cellStyle name="60% — акцент3" xfId="96" builtinId="40" customBuiltin="1"/>
    <cellStyle name="60% — акцент4" xfId="100" builtinId="44" customBuiltin="1"/>
    <cellStyle name="60% — акцент5" xfId="104" builtinId="48" customBuiltin="1"/>
    <cellStyle name="60% — акцент6" xfId="108" builtinId="52" customBuiltin="1"/>
    <cellStyle name="Cell1" xfId="1"/>
    <cellStyle name="Cell2" xfId="2"/>
    <cellStyle name="Cell3" xfId="3"/>
    <cellStyle name="Cell4" xfId="4"/>
    <cellStyle name="Cell5" xfId="5"/>
    <cellStyle name="Column1" xfId="6"/>
    <cellStyle name="Column2" xfId="7"/>
    <cellStyle name="Column3" xfId="8"/>
    <cellStyle name="Column4" xfId="9"/>
    <cellStyle name="Column5" xfId="10"/>
    <cellStyle name="Column7" xfId="11"/>
    <cellStyle name="Data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Normal 5" xfId="22"/>
    <cellStyle name="Normal 6" xfId="23"/>
    <cellStyle name="Normal_формы ПР утвержденные" xfId="24"/>
    <cellStyle name="Style 1" xfId="25"/>
    <cellStyle name="Title1" xfId="26"/>
    <cellStyle name="TitleCol1" xfId="27"/>
    <cellStyle name="TitleCol2" xfId="28"/>
    <cellStyle name="White1" xfId="29"/>
    <cellStyle name="White2" xfId="30"/>
    <cellStyle name="White3" xfId="31"/>
    <cellStyle name="White4" xfId="32"/>
    <cellStyle name="White5" xfId="33"/>
    <cellStyle name="Акцент1" xfId="85" builtinId="29" customBuiltin="1"/>
    <cellStyle name="Акцент2" xfId="89" builtinId="33" customBuiltin="1"/>
    <cellStyle name="Акцент3" xfId="93" builtinId="37" customBuiltin="1"/>
    <cellStyle name="Акцент4" xfId="97" builtinId="41" customBuiltin="1"/>
    <cellStyle name="Акцент5" xfId="101" builtinId="45" customBuiltin="1"/>
    <cellStyle name="Акцент6" xfId="105" builtinId="49" customBuiltin="1"/>
    <cellStyle name="Ввод " xfId="76" builtinId="20" customBuiltin="1"/>
    <cellStyle name="Вывод" xfId="77" builtinId="21" customBuiltin="1"/>
    <cellStyle name="Вычисление" xfId="7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84" builtinId="25" customBuiltin="1"/>
    <cellStyle name="КАНДАГАЧ тел3-33-96" xfId="34"/>
    <cellStyle name="Контрольная ячейка" xfId="80" builtinId="23" customBuiltin="1"/>
    <cellStyle name="Название" xfId="68" builtinId="15" customBuiltin="1"/>
    <cellStyle name="Нейтральный" xfId="75" builtinId="28" customBuiltin="1"/>
    <cellStyle name="Обычный" xfId="0" builtinId="0"/>
    <cellStyle name="Обычный 10" xfId="35"/>
    <cellStyle name="Обычный 11" xfId="36"/>
    <cellStyle name="Обычный 11 4" xfId="119"/>
    <cellStyle name="Обычный 12" xfId="37"/>
    <cellStyle name="Обычный 14" xfId="38"/>
    <cellStyle name="Обычный 15" xfId="39"/>
    <cellStyle name="Обычный 16" xfId="40"/>
    <cellStyle name="Обычный 17" xfId="41"/>
    <cellStyle name="Обычный 18" xfId="42"/>
    <cellStyle name="Обычный 19" xfId="43"/>
    <cellStyle name="Обычный 2" xfId="44"/>
    <cellStyle name="Обычный 2 2" xfId="45"/>
    <cellStyle name="Обычный 2 2 2" xfId="118"/>
    <cellStyle name="Обычный 2 2 2 2" xfId="114"/>
    <cellStyle name="Обычный 2 3" xfId="110"/>
    <cellStyle name="Обычный 2 4" xfId="113"/>
    <cellStyle name="Обычный 2 5" xfId="115"/>
    <cellStyle name="Обычный 20" xfId="46"/>
    <cellStyle name="Обычный 24" xfId="47"/>
    <cellStyle name="Обычный 26" xfId="48"/>
    <cellStyle name="Обычный 26 2" xfId="49"/>
    <cellStyle name="Обычный 3" xfId="50"/>
    <cellStyle name="Обычный 3 4" xfId="51"/>
    <cellStyle name="Обычный 32" xfId="52"/>
    <cellStyle name="Обычный 33" xfId="53"/>
    <cellStyle name="Обычный 34" xfId="54"/>
    <cellStyle name="Обычный 35" xfId="55"/>
    <cellStyle name="Обычный 4" xfId="56"/>
    <cellStyle name="Обычный 4 2" xfId="67"/>
    <cellStyle name="Обычный 4 5" xfId="57"/>
    <cellStyle name="Обычный 5" xfId="66"/>
    <cellStyle name="Обычный 6" xfId="109"/>
    <cellStyle name="Обычный 7" xfId="58"/>
    <cellStyle name="Обычный 7 6" xfId="59"/>
    <cellStyle name="Обычный 7 7" xfId="60"/>
    <cellStyle name="Обычный 8" xfId="61"/>
    <cellStyle name="Обычный 9" xfId="112"/>
    <cellStyle name="Обычный 9 8" xfId="62"/>
    <cellStyle name="Обычный 9 9" xfId="63"/>
    <cellStyle name="Обычный_1720" xfId="124"/>
    <cellStyle name="Обычный_7100" xfId="122"/>
    <cellStyle name="Обычный_7200" xfId="121"/>
    <cellStyle name="Обычный_Лист1" xfId="123"/>
    <cellStyle name="Обычный_Лист15" xfId="120"/>
    <cellStyle name="Плохой" xfId="74" builtinId="27" customBuiltin="1"/>
    <cellStyle name="Пояснение" xfId="83" builtinId="53" customBuiltin="1"/>
    <cellStyle name="Примечание" xfId="82" builtinId="10" customBuiltin="1"/>
    <cellStyle name="Связанная ячейка" xfId="79" builtinId="24" customBuiltin="1"/>
    <cellStyle name="Стиль 1" xfId="64"/>
    <cellStyle name="Стиль 1 2" xfId="65"/>
    <cellStyle name="Текст предупреждения" xfId="81" builtinId="11" customBuiltin="1"/>
    <cellStyle name="Финансовый" xfId="111" builtinId="3"/>
    <cellStyle name="Финансовый 2" xfId="116"/>
    <cellStyle name="Финансовый 3" xfId="117"/>
    <cellStyle name="Хороший" xfId="73" builtinId="26" customBuiltin="1"/>
  </cellStyles>
  <dxfs count="0"/>
  <tableStyles count="0" defaultTableStyle="TableStyleMedium9" defaultPivotStyle="PivotStyleLight16"/>
  <colors>
    <mruColors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0</xdr:rowOff>
    </xdr:from>
    <xdr:ext cx="18285714" cy="9904762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77150"/>
          <a:ext cx="18285714" cy="99047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177</xdr:row>
      <xdr:rowOff>0</xdr:rowOff>
    </xdr:from>
    <xdr:ext cx="18285714" cy="9904762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72025"/>
          <a:ext cx="18285714" cy="990476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N.Zhumadilda\AppData\Roaming\Skype\My%20Skype%20Received%20Files\&#1064;&#1072;&#1073;&#1083;&#1086;&#1085;_gz_2016_ru_v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askarova/Desktop/Skype/CT_september%20&#8212;%20&#1057;%20&#1048;&#1057;&#1055;&#1056;&#1040;&#1042;&#1051;&#1045;&#1053;&#1048;&#1071;&#1052;&#10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samatov/Desktop/2&#1086;&#1077;%20&#1087;&#1086;&#1083;&#1091;&#1075;&#1086;&#1076;&#1080;&#1077;%202023%20&#1075;&#1086;&#1076;&#1072;/&#1055;&#1056;%20&#1085;&#1072;%202&#1077;%20&#1087;&#1075;%20&#1086;&#1082;&#1086;&#1085;&#1095;&#1072;&#1090;&#1077;&#1083;&#1100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1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СТРУ_Товары_часть1"/>
      <sheetName val="СТРУ_Товары_часть2"/>
      <sheetName val="СТРУ_Товары_часть3"/>
      <sheetName val="СТРУ_Работы"/>
      <sheetName val="СТРУ_Услуги"/>
      <sheetName val="Категория поставщика"/>
    </sheetNames>
    <sheetDataSet>
      <sheetData sheetId="0"/>
      <sheetData sheetId="1"/>
      <sheetData sheetId="2">
        <row r="2">
          <cell r="B2" t="str">
            <v>01 пп.1 п.3 ст.39</v>
          </cell>
        </row>
        <row r="3">
          <cell r="B3" t="str">
            <v>02 пп.2 п.3 ст.39</v>
          </cell>
        </row>
        <row r="4">
          <cell r="B4" t="str">
            <v>03 пп.3 п.3 ст.39</v>
          </cell>
        </row>
        <row r="5">
          <cell r="B5" t="str">
            <v>04 пп.4 п.3 ст.39</v>
          </cell>
        </row>
        <row r="6">
          <cell r="B6" t="str">
            <v>05 пп.5 п.3 ст.39</v>
          </cell>
        </row>
        <row r="7">
          <cell r="B7" t="str">
            <v>06 пп.6 п.3 ст.39</v>
          </cell>
        </row>
        <row r="8">
          <cell r="B8" t="str">
            <v>07 пп.7 п.3 ст.39</v>
          </cell>
        </row>
        <row r="9">
          <cell r="B9" t="str">
            <v>08 пп.8 п.3 ст.39</v>
          </cell>
        </row>
        <row r="10">
          <cell r="B10" t="str">
            <v>09 пп.9 п.3 ст.39</v>
          </cell>
        </row>
        <row r="11">
          <cell r="B11" t="str">
            <v>10 пп.10 п.3 ст.39</v>
          </cell>
        </row>
        <row r="12">
          <cell r="B12" t="str">
            <v>11 пп.11 п.3 ст.39</v>
          </cell>
        </row>
        <row r="13">
          <cell r="B13" t="str">
            <v>12 пп.12 п.3 ст.39</v>
          </cell>
        </row>
        <row r="14">
          <cell r="B14" t="str">
            <v>13 пп.13 п.3 ст.39</v>
          </cell>
        </row>
        <row r="15">
          <cell r="B15" t="str">
            <v>14 пп.14 п.3 ст.39</v>
          </cell>
        </row>
        <row r="16">
          <cell r="B16" t="str">
            <v>15 пп.15 п.3 ст.39</v>
          </cell>
        </row>
        <row r="17">
          <cell r="B17" t="str">
            <v>16 пп.16 п.3 ст.39</v>
          </cell>
        </row>
        <row r="18">
          <cell r="B18" t="str">
            <v>17 пп.17 п.3 ст.39</v>
          </cell>
        </row>
        <row r="19">
          <cell r="B19" t="str">
            <v>18 пп.18 п.3 ст.39</v>
          </cell>
        </row>
        <row r="20">
          <cell r="B20" t="str">
            <v>19 пп.19 п.3 ст.39</v>
          </cell>
        </row>
        <row r="21">
          <cell r="B21" t="str">
            <v>20 пп.20 п.3 ст.39</v>
          </cell>
        </row>
        <row r="22">
          <cell r="B22" t="str">
            <v>21 пп.21 п.3 ст.39</v>
          </cell>
        </row>
        <row r="23">
          <cell r="B23" t="str">
            <v>22 пп.22 п.3 ст.39</v>
          </cell>
        </row>
        <row r="24">
          <cell r="B24" t="str">
            <v>23 пп.23 п.3 ст.39</v>
          </cell>
        </row>
        <row r="25">
          <cell r="B25" t="str">
            <v>24 пп.24 п.3 ст.39</v>
          </cell>
        </row>
        <row r="26">
          <cell r="B26" t="str">
            <v>25 пп.25 п.3 ст.39</v>
          </cell>
        </row>
        <row r="27">
          <cell r="B27" t="str">
            <v>26 пп.26 п.3 ст.39</v>
          </cell>
        </row>
        <row r="28">
          <cell r="B28" t="str">
            <v>27 пп.27 п.3 ст.39</v>
          </cell>
        </row>
        <row r="29">
          <cell r="B29" t="str">
            <v>28 пп.28 п.3 ст.39</v>
          </cell>
        </row>
        <row r="30">
          <cell r="B30" t="str">
            <v>29 пп.29 п.3 ст.39</v>
          </cell>
        </row>
        <row r="31">
          <cell r="B31" t="str">
            <v>30 пп.30 п.3 ст.39</v>
          </cell>
        </row>
        <row r="32">
          <cell r="B32" t="str">
            <v>31 пп.31 п.3 ст.39</v>
          </cell>
        </row>
        <row r="33">
          <cell r="B33" t="str">
            <v>32 пп.32 п.3 ст.39</v>
          </cell>
        </row>
        <row r="34">
          <cell r="B34" t="str">
            <v>33 пп.33 п.3 ст.39</v>
          </cell>
        </row>
        <row r="35">
          <cell r="B35" t="str">
            <v>34 пп.34 п.3 ст.39</v>
          </cell>
        </row>
        <row r="36">
          <cell r="B36" t="str">
            <v>35 пп.35 п.3 ст.39</v>
          </cell>
        </row>
        <row r="37">
          <cell r="B37" t="str">
            <v>36 пп.36 п.3 ст.39</v>
          </cell>
        </row>
        <row r="38">
          <cell r="B38" t="str">
            <v>37 пп.37 п.3 ст.39</v>
          </cell>
        </row>
        <row r="39">
          <cell r="B39" t="str">
            <v>38 пп.38 п.3 ст.39</v>
          </cell>
        </row>
        <row r="40">
          <cell r="B40" t="str">
            <v>39 пп.39 п.3 ст.39</v>
          </cell>
        </row>
        <row r="41">
          <cell r="B41" t="str">
            <v>40 пп.40 п.3 ст.39</v>
          </cell>
        </row>
        <row r="42">
          <cell r="B42" t="str">
            <v>41 пп.41 п.3 ст.39</v>
          </cell>
        </row>
        <row r="43">
          <cell r="B43" t="str">
            <v>42 пп.42 п.3 ст.39</v>
          </cell>
        </row>
        <row r="44">
          <cell r="B44" t="str">
            <v>43 пп.43 п.3 ст.39</v>
          </cell>
        </row>
        <row r="45">
          <cell r="B45" t="str">
            <v>44 пп.44 п.3 ст.39</v>
          </cell>
        </row>
        <row r="46">
          <cell r="B46" t="str">
            <v>45 пп.45 п.3 ст.39</v>
          </cell>
        </row>
        <row r="47">
          <cell r="B47" t="str">
            <v>46 пп.46 п.3 ст.39</v>
          </cell>
        </row>
        <row r="48">
          <cell r="B48" t="str">
            <v>47 пп.47 п.3 ст.39</v>
          </cell>
        </row>
        <row r="49">
          <cell r="B49" t="str">
            <v>48 пп.48 п.3 ст.39</v>
          </cell>
        </row>
        <row r="50">
          <cell r="B50" t="str">
            <v>49 пп.49 п.3 ст.39</v>
          </cell>
        </row>
        <row r="51">
          <cell r="B51" t="str">
            <v>50 пп.50 п.3 ст.39</v>
          </cell>
        </row>
        <row r="52">
          <cell r="B52" t="str">
            <v>51 пп.51 п.3 ст.39</v>
          </cell>
        </row>
        <row r="53">
          <cell r="B53" t="str">
            <v>52 пп.52 п.3 ст.39</v>
          </cell>
        </row>
        <row r="54">
          <cell r="B54" t="str">
            <v>53 пп.53 п.3 ст.39</v>
          </cell>
        </row>
        <row r="55">
          <cell r="B55" t="str">
            <v>54 пп.54 п.3 ст.39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10 Закупка у организаций инвалидов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"/>
      <sheetName val="6110"/>
      <sheetName val="6290"/>
      <sheetName val="ОСВ"/>
      <sheetName val="7000"/>
      <sheetName val="7100"/>
      <sheetName val="7420"/>
      <sheetName val="7440"/>
      <sheetName val="7470"/>
      <sheetName val="7480"/>
      <sheetName val="7200"/>
      <sheetName val="Налоги"/>
      <sheetName val="Свод"/>
      <sheetName val="172 август"/>
      <sheetName val="ГПХ"/>
      <sheetName val="РЕЗЕРВ"/>
      <sheetName val="УЛИСИ"/>
      <sheetName val="повыш. квал"/>
      <sheetName val="УАКР"/>
      <sheetName val="команд"/>
      <sheetName val="Амортизация"/>
      <sheetName val="ТМЗ и услуги"/>
      <sheetName val="ОС и НМА"/>
      <sheetName val="полиграф"/>
      <sheetName val="УПО"/>
      <sheetName val="СпРИТ"/>
      <sheetName val="УМИА"/>
      <sheetName val="регионы"/>
      <sheetName val="Расходы по хран-ю и тран.ЕЖЕ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2">
          <cell r="E12">
            <v>377231.05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7200"/>
      <sheetName val="Расходы от обесценения"/>
      <sheetName val="1720"/>
      <sheetName val="ФОТ"/>
      <sheetName val="6110"/>
      <sheetName val="6290"/>
      <sheetName val="ОСВ"/>
      <sheetName val="7000"/>
      <sheetName val="7100"/>
      <sheetName val="7420"/>
      <sheetName val="7440"/>
      <sheetName val="7470"/>
      <sheetName val="7480"/>
      <sheetName val="Налоги"/>
      <sheetName val="172 август"/>
      <sheetName val="ГПХ"/>
      <sheetName val="РЕЗЕРВ"/>
      <sheetName val="УЛИСИ"/>
      <sheetName val="повыш. квал"/>
      <sheetName val="УАКР"/>
      <sheetName val="команд"/>
      <sheetName val="Амотизация"/>
      <sheetName val="ОС и НМА"/>
      <sheetName val="ТМЗ и услуги"/>
      <sheetName val="полиграф"/>
      <sheetName val="УПО"/>
      <sheetName val="СпРИТ"/>
      <sheetName val="УМИА"/>
      <sheetName val="регионы"/>
      <sheetName val="Расходы по хран-ю и тран.ЕЖЕ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D3">
            <v>1029032.26</v>
          </cell>
        </row>
      </sheetData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nstru.kz/code_new.jsp?&amp;s=common&amp;p=10&amp;n=0&amp;fc=1&amp;fg=0&amp;new=612042.100.000000" TargetMode="External"/><Relationship Id="rId21" Type="http://schemas.openxmlformats.org/officeDocument/2006/relationships/hyperlink" Target="https://enstru.kz/code_new.jsp?&amp;s=common&amp;p=10&amp;n=0&amp;fc=1&amp;fg=0&amp;new=493212.000.000000" TargetMode="External"/><Relationship Id="rId42" Type="http://schemas.openxmlformats.org/officeDocument/2006/relationships/hyperlink" Target="https://enstru.kz/code_new.jsp?&amp;s=common&amp;p=10&amp;n=0&amp;fc=1&amp;fg=0&amp;new=582950.000.000000" TargetMode="External"/><Relationship Id="rId47" Type="http://schemas.openxmlformats.org/officeDocument/2006/relationships/hyperlink" Target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 TargetMode="External"/><Relationship Id="rId63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4" TargetMode="External"/><Relationship Id="rId68" Type="http://schemas.openxmlformats.org/officeDocument/2006/relationships/hyperlink" Target="https://enstru.kz/code_new.jsp?&amp;s=common&amp;p=10&amp;n=0&amp;fc=1&amp;fg=0&amp;new=110711.310.000000" TargetMode="External"/><Relationship Id="rId84" Type="http://schemas.openxmlformats.org/officeDocument/2006/relationships/printerSettings" Target="../printerSettings/printerSettings2.bin"/><Relationship Id="rId16" Type="http://schemas.openxmlformats.org/officeDocument/2006/relationships/hyperlink" Target="https://enstru.kz/code_new.jsp?&amp;s=common&amp;p=10&amp;n=0&amp;fc=1&amp;fg=0&amp;new=110711.310.000000" TargetMode="External"/><Relationship Id="rId11" Type="http://schemas.openxmlformats.org/officeDocument/2006/relationships/hyperlink" Target="https://enstru.kz/code_new.jsp?&amp;s=common&amp;p=10&amp;n=0&amp;fc=1&amp;fg=0&amp;new=682012.960.000000" TargetMode="External"/><Relationship Id="rId32" Type="http://schemas.openxmlformats.org/officeDocument/2006/relationships/hyperlink" Target="https://enstru.kz/code_new.jsp?&amp;s=common&amp;p=10&amp;n=0&amp;fc=1&amp;fg=0&amp;new=822010.000.000000" TargetMode="External"/><Relationship Id="rId37" Type="http://schemas.openxmlformats.org/officeDocument/2006/relationships/hyperlink" Target="https://enstru.kz/code_new.jsp?&amp;s=common&amp;p=10&amp;n=0&amp;fc=1&amp;fg=0&amp;new=582950.000.000000" TargetMode="External"/><Relationship Id="rId53" Type="http://schemas.openxmlformats.org/officeDocument/2006/relationships/hyperlink" Target="https://enstru.kz/code_new.jsp?&amp;s=common&amp;p=10&amp;n=0&amp;fc=1&amp;fg=0&amp;new=682011.900.000001" TargetMode="External"/><Relationship Id="rId58" Type="http://schemas.openxmlformats.org/officeDocument/2006/relationships/hyperlink" Target="https://enstru.kz/code_new.jsp?&amp;s=common&amp;p=10&amp;n=0&amp;fc=1&amp;fg=0&amp;new=682012.960.000000" TargetMode="External"/><Relationship Id="rId74" Type="http://schemas.openxmlformats.org/officeDocument/2006/relationships/hyperlink" Target="https://enstru.kz/code_new.jsp?&amp;s=common&amp;p=10&amp;n=0&amp;fc=1&amp;fg=0&amp;new=682012.960.000000" TargetMode="External"/><Relationship Id="rId79" Type="http://schemas.openxmlformats.org/officeDocument/2006/relationships/hyperlink" Target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 TargetMode="External"/><Relationship Id="rId5" Type="http://schemas.openxmlformats.org/officeDocument/2006/relationships/hyperlink" Target="https://enstru.kz/code_new.jsp?&amp;s=common&amp;p=10&amp;n=0&amp;fc=1&amp;fg=0&amp;new=682012.960.000000" TargetMode="External"/><Relationship Id="rId61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4" TargetMode="External"/><Relationship Id="rId82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4" TargetMode="External"/><Relationship Id="rId19" Type="http://schemas.openxmlformats.org/officeDocument/2006/relationships/hyperlink" Target="https://enstru.kz/code_new.jsp?&amp;s=common&amp;p=10&amp;n=0&amp;fc=1&amp;fg=0&amp;new=532011.110.000000" TargetMode="External"/><Relationship Id="rId14" Type="http://schemas.openxmlformats.org/officeDocument/2006/relationships/hyperlink" Target="https://enstru.kz/code_new.jsp?&amp;s=common&amp;p=10&amp;n=0&amp;fc=1&amp;fg=0&amp;new=682012.960.000000" TargetMode="External"/><Relationship Id="rId22" Type="http://schemas.openxmlformats.org/officeDocument/2006/relationships/hyperlink" Target="https://enstru.kz/code_new.jsp?&amp;s=common&amp;p=10&amp;n=0&amp;fc=1&amp;fg=0&amp;new=493212.000.000000" TargetMode="External"/><Relationship Id="rId27" Type="http://schemas.openxmlformats.org/officeDocument/2006/relationships/hyperlink" Target="https://enstru.kz/code_new.jsp?&amp;s=common&amp;p=10&amp;n=0&amp;fc=1&amp;fg=0&amp;new=619010.451.000000" TargetMode="External"/><Relationship Id="rId30" Type="http://schemas.openxmlformats.org/officeDocument/2006/relationships/hyperlink" Target="https://enstru.kz/code_new.jsp?&amp;t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s=common&amp;p=10&amp;n=0&amp;S=77%2E39%2E14%2E000&amp;N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fc=1&amp;fg=0&amp;new=773914.000.000000" TargetMode="External"/><Relationship Id="rId35" Type="http://schemas.openxmlformats.org/officeDocument/2006/relationships/hyperlink" Target="https://enstru.kz/code_new.jsp?&amp;s=common&amp;p=10&amp;n=0&amp;fc=1&amp;fg=0&amp;new=582950.000.000000" TargetMode="External"/><Relationship Id="rId43" Type="http://schemas.openxmlformats.org/officeDocument/2006/relationships/hyperlink" Target="https://enstru.kz/code_new.jsp?&amp;s=common&amp;p=10&amp;n=0&amp;fc=1&amp;fg=0&amp;new=582950.000.000000" TargetMode="External"/><Relationship Id="rId48" Type="http://schemas.openxmlformats.org/officeDocument/2006/relationships/hyperlink" Target="https://enstru.kz/code_new.jsp?&amp;s=common&amp;p=10&amp;n=0&amp;fc=1&amp;fg=0&amp;new=841112.900.000009" TargetMode="External"/><Relationship Id="rId56" Type="http://schemas.openxmlformats.org/officeDocument/2006/relationships/hyperlink" Target="https://enstru.kz/code_new.jsp?&amp;s=common&amp;p=10&amp;n=0&amp;fc=1&amp;fg=0&amp;new=682012.960.000000" TargetMode="External"/><Relationship Id="rId64" Type="http://schemas.openxmlformats.org/officeDocument/2006/relationships/hyperlink" Target="https://enstru.kz/code_new.jsp?&amp;s=common&amp;p=10&amp;n=0&amp;fc=1&amp;fg=0&amp;new=110711.310.000000" TargetMode="External"/><Relationship Id="rId69" Type="http://schemas.openxmlformats.org/officeDocument/2006/relationships/hyperlink" Target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 TargetMode="External"/><Relationship Id="rId77" Type="http://schemas.openxmlformats.org/officeDocument/2006/relationships/hyperlink" Target="https://enstru.kz/code_new.jsp?&amp;s=common&amp;p=10&amp;n=0&amp;fc=1&amp;fg=0&amp;new=682012.960.000000" TargetMode="External"/><Relationship Id="rId8" Type="http://schemas.openxmlformats.org/officeDocument/2006/relationships/hyperlink" Target="https://enstru.kz/code_new.jsp?&amp;s=common&amp;p=10&amp;n=0&amp;fc=1&amp;fg=0&amp;new=682012.960.000000" TargetMode="External"/><Relationship Id="rId51" Type="http://schemas.openxmlformats.org/officeDocument/2006/relationships/hyperlink" Target="https://enstru.kz/code_new.jsp?&amp;s=common&amp;p=10&amp;n=0&amp;fc=1&amp;fg=0&amp;new=841112.900.000009" TargetMode="External"/><Relationship Id="rId72" Type="http://schemas.openxmlformats.org/officeDocument/2006/relationships/hyperlink" Target="https://enstru.kz/code_new.jsp?&amp;s=common&amp;p=10&amp;n=0&amp;fc=1&amp;fg=0&amp;new=682012.960.000000" TargetMode="External"/><Relationship Id="rId80" Type="http://schemas.openxmlformats.org/officeDocument/2006/relationships/hyperlink" Target="https://enstru.kz/code_new.jsp?&amp;t=%D0%BF%D1%80%D0%B5%D0%B4%D0%BE%D1%81%D1%82%D0%B0%D0%B2%D0%BB%D0%B5%D0%BD%D0%B8%D0%B5%20%D0%BB%D0%B8%D1%86%D0%B5%D0%BD%D0%B7%D0%B8%D0%B9&amp;s=common&amp;p=10&amp;n=0&amp;S=582950%2E000&amp;N=%D0%A3%D1%81%D0%BB%D1%83%D0%B3%D0%B8%20%D0%BF%D0%BE%20%D0%BF%D1%80%D0%BE%D0%B4%D0%BB%D0%B5%D0%BD%D0%B8%D1%8E%20%D0%BB%D0%B8%D1%86%D0%B5%D0%BD%D0%B7%D0%B8%D0%B9%20%D0%BD%D0%B0%20%D0%BF%D1%80%D0%B0%D0%B2%D0%BE%20%D0%B8%D1%81%D0%BF%D0%BE%D0%BB%D1%8C%D0%B7%D0%BE%D0%B2%D0%B0%D0%BD%D0%B8%D1%8F%20%D0%BF%D1%80%D0%BE%D0%B3%D1%80%D0%B0%D0%BC%D0%BC%D0%BD%D0%BE%D0%B3%D0%BE%20%D0%BE%D0%B1%D0%B5%D1%81%D0%BF%D0%B5%D1%87%D0%B5%D0%BD%D0%B8%D1%8F&amp;fc=1&amp;fg=0&amp;new=582950.000.000000" TargetMode="External"/><Relationship Id="rId3" Type="http://schemas.openxmlformats.org/officeDocument/2006/relationships/hyperlink" Target="https://enstru.kz/code_new.jsp?&amp;s=common&amp;p=10&amp;n=0&amp;fc=1&amp;fg=0&amp;new=682012.960.000000" TargetMode="External"/><Relationship Id="rId12" Type="http://schemas.openxmlformats.org/officeDocument/2006/relationships/hyperlink" Target="https://enstru.kz/code_new.jsp?&amp;s=common&amp;p=10&amp;n=0&amp;fc=1&amp;fg=0&amp;new=682012.960.000000" TargetMode="External"/><Relationship Id="rId17" Type="http://schemas.openxmlformats.org/officeDocument/2006/relationships/hyperlink" Target="https://enstru.kz/code_new.jsp?&amp;t=%D0%BA%D0%BB%D0%B0%D0%B2%D0%B8%D0%B0%D1%82%D1%83%D1%80%D0%B0&amp;s=common&amp;p=10&amp;n=0&amp;S=26%2E20%2E15%2E000,26%2E30%2E30%2E900&amp;N=%D0%9A%D0%BB%D0%B0%D0%B2%D0%B8%D0%B0%D1%82%D1%83%D1%80%D0%B0&amp;fc=1&amp;fg=1&amp;new=262015.000.000012" TargetMode="External"/><Relationship Id="rId25" Type="http://schemas.openxmlformats.org/officeDocument/2006/relationships/hyperlink" Target="https://enstru.kz/code_new.jsp?&amp;s=common&amp;p=10&amp;n=0&amp;fc=1&amp;fg=0&amp;new=612042.100.000000" TargetMode="External"/><Relationship Id="rId33" Type="http://schemas.openxmlformats.org/officeDocument/2006/relationships/hyperlink" Target="https://enstru.kz/code_new.jsp?&amp;s=common&amp;p=10&amp;n=0&amp;fc=1&amp;fg=0&amp;new=110711.310.000000" TargetMode="External"/><Relationship Id="rId38" Type="http://schemas.openxmlformats.org/officeDocument/2006/relationships/hyperlink" Target="https://enstru.kz/code_new.jsp?&amp;s=common&amp;p=10&amp;n=0&amp;fc=1&amp;fg=0&amp;new=582950.000.000000" TargetMode="External"/><Relationship Id="rId46" Type="http://schemas.openxmlformats.org/officeDocument/2006/relationships/hyperlink" Target="https://enstru.kz/code_new.jsp?&amp;t=%D0%B0%D1%83%D1%82%D1%81%D0%BE%D1%80%D1%81%D0%B8%D0%BD%D0%B3&amp;s=common&amp;p=10&amp;n=0&amp;S=78%2E10%2E11%2E000&amp;N=%D0%A3%D1%81%D0%BB%D1%83%D0%B3%D0%B8%20%D0%BF%D0%BE%20%D0%B0%D1%83%D1%82%D1%81%D0%BE%D1%80%D1%81%D0%B8%D0%BD%D0%B3%D1%83%20%D0%BF%D0%B5%D1%80%D1%81%D0%BE%D0%BD%D0%B0%D0%BB%D0%B0&amp;fc=1&amp;fg=0&amp;new=781011.000.000003" TargetMode="External"/><Relationship Id="rId59" Type="http://schemas.openxmlformats.org/officeDocument/2006/relationships/hyperlink" Target="https://enstru.kz/code_new.jsp?&amp;s=common&amp;p=10&amp;n=0&amp;fc=1&amp;fg=0&amp;new=682012.960.000000" TargetMode="External"/><Relationship Id="rId67" Type="http://schemas.openxmlformats.org/officeDocument/2006/relationships/hyperlink" Target="https://enstru.kz/code_new.jsp?&amp;t=%D0%BF%D1%80%D0%B5%D0%B4%D0%BE%D1%81%D1%82%D0%B0%D0%B2%D0%BB%D0%B5%D0%BD%D0%B8%D0%B5%20%D0%BB%D0%B8%D1%86%D0%B5%D0%BD%D0%B7%D0%B8%D0%B9&amp;s=common&amp;p=10&amp;n=0&amp;S=582950%2E000&amp;N=%D0%A3%D1%81%D0%BB%D1%83%D0%B3%D0%B8%20%D0%BF%D0%BE%20%D0%BF%D1%80%D0%BE%D0%B4%D0%BB%D0%B5%D0%BD%D0%B8%D1%8E%20%D0%BB%D0%B8%D1%86%D0%B5%D0%BD%D0%B7%D0%B8%D0%B9%20%D0%BD%D0%B0%20%D0%BF%D1%80%D0%B0%D0%B2%D0%BE%20%D0%B8%D1%81%D0%BF%D0%BE%D0%BB%D1%8C%D0%B7%D0%BE%D0%B2%D0%B0%D0%BD%D0%B8%D1%8F%20%D0%BF%D1%80%D0%BE%D0%B3%D1%80%D0%B0%D0%BC%D0%BC%D0%BD%D0%BE%D0%B3%D0%BE%20%D0%BE%D0%B1%D0%B5%D1%81%D0%BF%D0%B5%D1%87%D0%B5%D0%BD%D0%B8%D1%8F&amp;fc=1&amp;fg=0&amp;new=582950.000.000000" TargetMode="External"/><Relationship Id="rId20" Type="http://schemas.openxmlformats.org/officeDocument/2006/relationships/hyperlink" Target="https://enstru.kz/code_new.jsp?&amp;s=common&amp;p=10&amp;n=0&amp;fc=1&amp;fg=0&amp;new=532011.110.000000" TargetMode="External"/><Relationship Id="rId41" Type="http://schemas.openxmlformats.org/officeDocument/2006/relationships/hyperlink" Target="https://enstru.kz/code_new.jsp?&amp;s=common&amp;p=10&amp;n=0&amp;fc=1&amp;fg=0&amp;new=582950.000.000000" TargetMode="External"/><Relationship Id="rId54" Type="http://schemas.openxmlformats.org/officeDocument/2006/relationships/hyperlink" Target="https://enstru.kz/code_new.jsp?&amp;s=common&amp;p=10&amp;n=0&amp;fc=1&amp;fg=0&amp;new=682011.900.000001" TargetMode="External"/><Relationship Id="rId62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4" TargetMode="External"/><Relationship Id="rId70" Type="http://schemas.openxmlformats.org/officeDocument/2006/relationships/hyperlink" Target="https://enstru.kz/code_new.jsp?&amp;s=common&amp;p=10&amp;n=0&amp;fc=1&amp;fg=0&amp;new=682012.960.000000" TargetMode="External"/><Relationship Id="rId75" Type="http://schemas.openxmlformats.org/officeDocument/2006/relationships/hyperlink" Target="https://enstru.kz/code_new.jsp?&amp;s=common&amp;p=10&amp;n=0&amp;fc=1&amp;fg=0&amp;new=682012.960.000000" TargetMode="External"/><Relationship Id="rId83" Type="http://schemas.openxmlformats.org/officeDocument/2006/relationships/hyperlink" Target="https://enstru.kz/code_new.jsp?&amp;s=common&amp;p=10&amp;n=0&amp;fc=1&amp;fg=0&amp;new=110711.310.000000" TargetMode="External"/><Relationship Id="rId1" Type="http://schemas.openxmlformats.org/officeDocument/2006/relationships/hyperlink" Target="https://enstru.kz/code_new.jsp?&amp;s=common&amp;p=10&amp;n=0&amp;fc=1&amp;fg=0&amp;new=749020.000.000060" TargetMode="External"/><Relationship Id="rId6" Type="http://schemas.openxmlformats.org/officeDocument/2006/relationships/hyperlink" Target="https://enstru.kz/code_new.jsp?&amp;s=common&amp;p=10&amp;n=0&amp;fc=1&amp;fg=0&amp;new=682012.960.000000" TargetMode="External"/><Relationship Id="rId15" Type="http://schemas.openxmlformats.org/officeDocument/2006/relationships/hyperlink" Target="https://enstru.kz/code_new.jsp?&amp;t=%D1%81%D0%BA%D0%BE%D1%82%D1%87&amp;s=common&amp;p=10&amp;n=2&amp;S=32%2E99%2E59%2E900&amp;N=%D0%A1%D0%BA%D0%BE%D1%82%D1%87&amp;fc=1&amp;fg=1&amp;new=329959.900.000082" TargetMode="External"/><Relationship Id="rId23" Type="http://schemas.openxmlformats.org/officeDocument/2006/relationships/hyperlink" Target="https://enstru.kz/code_new.jsp?&amp;s=common&amp;p=10&amp;n=0&amp;fc=1&amp;fg=0&amp;new=611011.200.000000" TargetMode="External"/><Relationship Id="rId28" Type="http://schemas.openxmlformats.org/officeDocument/2006/relationships/hyperlink" Target="https://enstru.kz/code_new.jsp?&amp;s=common&amp;p=10&amp;n=0&amp;fc=1&amp;fg=0&amp;new=619010.451.000000" TargetMode="External"/><Relationship Id="rId36" Type="http://schemas.openxmlformats.org/officeDocument/2006/relationships/hyperlink" Target="https://enstru.kz/code_new.jsp?&amp;s=common&amp;p=10&amp;n=0&amp;fc=1&amp;fg=0&amp;new=582950.000.000000" TargetMode="External"/><Relationship Id="rId49" Type="http://schemas.openxmlformats.org/officeDocument/2006/relationships/hyperlink" Target="https://enstru.kz/code_new.jsp?&amp;s=common&amp;p=10&amp;n=0&amp;fc=1&amp;fg=0&amp;new=841112.900.000009" TargetMode="External"/><Relationship Id="rId57" Type="http://schemas.openxmlformats.org/officeDocument/2006/relationships/hyperlink" Target="https://enstru.kz/code_new.jsp?&amp;s=common&amp;p=10&amp;n=0&amp;fc=1&amp;fg=0&amp;new=682012.960.000000" TargetMode="External"/><Relationship Id="rId10" Type="http://schemas.openxmlformats.org/officeDocument/2006/relationships/hyperlink" Target="https://enstru.kz/code_new.jsp?&amp;s=common&amp;p=10&amp;n=0&amp;fc=1&amp;fg=0&amp;new=682012.960.000000" TargetMode="External"/><Relationship Id="rId31" Type="http://schemas.openxmlformats.org/officeDocument/2006/relationships/hyperlink" Target="https://enstru.kz/code_new.jsp?&amp;s=common&amp;p=10&amp;n=0&amp;fc=1&amp;fg=0&amp;new=822010.000.000000" TargetMode="External"/><Relationship Id="rId44" Type="http://schemas.openxmlformats.org/officeDocument/2006/relationships/hyperlink" Target="https://enstru.kz/code_new.jsp?&amp;s=common&amp;p=10&amp;n=0&amp;fc=1&amp;fg=0&amp;new=582950.000.000000" TargetMode="External"/><Relationship Id="rId52" Type="http://schemas.openxmlformats.org/officeDocument/2006/relationships/hyperlink" Target="https://enstru.kz/code_new.jsp?&amp;s=common&amp;p=10&amp;n=0&amp;fc=1&amp;fg=0&amp;new=841112.900.000009" TargetMode="External"/><Relationship Id="rId60" Type="http://schemas.openxmlformats.org/officeDocument/2006/relationships/hyperlink" Target="https://enstru.kz/code_new.jsp?&amp;t=%D1%80%D0%B0%D0%BC%D0%BA%D0%B0&amp;s=common&amp;p=10&amp;n=0&amp;S=22%2E29%2E29%2E900&amp;N=%D0%A0%D0%B0%D0%BC%D0%BA%D0%B0&amp;fc=1&amp;fg=1&amp;new=222929.900.000045" TargetMode="External"/><Relationship Id="rId65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3" TargetMode="External"/><Relationship Id="rId73" Type="http://schemas.openxmlformats.org/officeDocument/2006/relationships/hyperlink" Target="https://enstru.kz/code_new.jsp?&amp;s=common&amp;p=10&amp;n=0&amp;fc=1&amp;fg=0&amp;new=682012.960.000000" TargetMode="External"/><Relationship Id="rId78" Type="http://schemas.openxmlformats.org/officeDocument/2006/relationships/hyperlink" Target="https://enstru.kz/code_new.jsp?&amp;s=common&amp;p=10&amp;n=0&amp;fc=1&amp;fg=0&amp;new=682012.960.000000" TargetMode="External"/><Relationship Id="rId81" Type="http://schemas.openxmlformats.org/officeDocument/2006/relationships/hyperlink" Target="https://enstru.kz/code_new.jsp?&amp;s=common&amp;p=10&amp;n=0&amp;fc=1&amp;fg=0&amp;new=360020.200.000001" TargetMode="External"/><Relationship Id="rId4" Type="http://schemas.openxmlformats.org/officeDocument/2006/relationships/hyperlink" Target="https://enstru.kz/code_new.jsp?&amp;s=common&amp;p=10&amp;n=0&amp;fc=1&amp;fg=0&amp;new=682012.960.000000" TargetMode="External"/><Relationship Id="rId9" Type="http://schemas.openxmlformats.org/officeDocument/2006/relationships/hyperlink" Target="https://enstru.kz/code_new.jsp?&amp;s=common&amp;p=10&amp;n=0&amp;fc=1&amp;fg=0&amp;new=682012.960.000000" TargetMode="External"/><Relationship Id="rId13" Type="http://schemas.openxmlformats.org/officeDocument/2006/relationships/hyperlink" Target="https://enstru.kz/code_new.jsp?&amp;s=common&amp;p=10&amp;n=0&amp;fc=1&amp;fg=0&amp;new=682012.960.000000" TargetMode="External"/><Relationship Id="rId18" Type="http://schemas.openxmlformats.org/officeDocument/2006/relationships/hyperlink" Target="https://enstru.kz/code_new.jsp?&amp;t=%D0%BC%D1%8B%D1%88%D1%8C&amp;s=common&amp;p=10&amp;n=0&amp;S=26%2E20%2E16%2E930&amp;N=%D0%9C%D0%B0%D0%BD%D0%B8%D0%BF%D1%83%D0%BB%D1%8F%D1%82%D0%BE%D1%80%20%22%D0%BC%D1%8B%D1%88%D1%8C%22&amp;fc=1&amp;fg=1&amp;new=262016.930.000001" TargetMode="External"/><Relationship Id="rId39" Type="http://schemas.openxmlformats.org/officeDocument/2006/relationships/hyperlink" Target="https://enstru.kz/code_new.jsp?&amp;s=common&amp;p=10&amp;n=0&amp;fc=1&amp;fg=0&amp;new=582950.000.000000" TargetMode="External"/><Relationship Id="rId34" Type="http://schemas.openxmlformats.org/officeDocument/2006/relationships/hyperlink" Target="https://enstru.kz/code_new.jsp?&amp;s=common&amp;p=10&amp;n=0&amp;fc=1&amp;fg=0&amp;new=110711.310.000000" TargetMode="External"/><Relationship Id="rId50" Type="http://schemas.openxmlformats.org/officeDocument/2006/relationships/hyperlink" Target="https://enstru.kz/code_new.jsp?&amp;s=common&amp;p=10&amp;n=0&amp;fc=1&amp;fg=0&amp;new=841112.900.000009" TargetMode="External"/><Relationship Id="rId55" Type="http://schemas.openxmlformats.org/officeDocument/2006/relationships/hyperlink" Target="https://enstru.kz/code_new.jsp?&amp;s=common&amp;p=10&amp;n=0&amp;fc=1&amp;fg=0&amp;new=682011.900.000001" TargetMode="External"/><Relationship Id="rId76" Type="http://schemas.openxmlformats.org/officeDocument/2006/relationships/hyperlink" Target="https://enstru.kz/code_new.jsp?&amp;s=common&amp;p=10&amp;n=0&amp;fc=1&amp;fg=0&amp;new=682012.960.000000" TargetMode="External"/><Relationship Id="rId7" Type="http://schemas.openxmlformats.org/officeDocument/2006/relationships/hyperlink" Target="https://enstru.kz/code_new.jsp?&amp;s=common&amp;p=10&amp;n=0&amp;fc=1&amp;fg=0&amp;new=682012.960.000000" TargetMode="External"/><Relationship Id="rId71" Type="http://schemas.openxmlformats.org/officeDocument/2006/relationships/hyperlink" Target="https://enstru.kz/code_new.jsp?&amp;s=common&amp;p=10&amp;n=0&amp;fc=1&amp;fg=0&amp;new=682012.960.000000" TargetMode="External"/><Relationship Id="rId2" Type="http://schemas.openxmlformats.org/officeDocument/2006/relationships/hyperlink" Target="https://enstru.kz/code_new.jsp?&amp;t=%D0%A3%D1%81%D0%BB%D1%83%D0%B3%D0%B8%20%D0%BF%D0%BE%20%D0%B3%D1%80%D1%83%D0%B7%D0%BE%D0%BE%D0%B1%D1%81%D0%BB%D1%83%D0%B6%D0%B8%D0%B2%D0%B0%D0%BD%D0%B8%D1%8E%20%D0%B2%20%D0%BE%D0%B1%D0%BB%D0%B0%D1%81%D1%82%D0%B8%20%D0%B2%D0%BE%D0%B7%D0%B4%D1%83%D1%88%D0%BD%D0%BE%D0%B3%D0%BE%20%D1%82%D1%80%D0%B0%D0%BD%D1%81%D0%BF%D0%BE%D1%80%D1%82&amp;s=common&amp;p=10&amp;n=0&amp;S=522319%2E000&amp;N=%D0%A3%D1%81%D0%BB%D1%83%D0%B3%D0%B8%20%D0%BF%D0%BE%20%D0%B3%D1%80%D1%83%D0%B7%D0%BE%D0%BE%D0%B1%D1%81%D0%BB%D1%83%D0%B6%D0%B8%D0%B2%D0%B0%D0%BD%D0%B8%D1%8E%20%D0%B2%20%D0%BE%D0%B1%D0%BB%D0%B0%D1%81%D1%82%D0%B8%20%D0%B2%D0%BE%D0%B7%D0%B4%D1%83%D1%88%D0%BD%D0%BE%D0%B3%D0%BE%20%D1%82%D1%80%D0%B0%D0%BD%D1%81%D0%BF%D0%BE%D1%80%D1%82%D0%B0&amp;fc=1&amp;fg=0&amp;new=522319.000.000001" TargetMode="External"/><Relationship Id="rId29" Type="http://schemas.openxmlformats.org/officeDocument/2006/relationships/hyperlink" Target="https://enstru.kz/code_new.jsp?&amp;t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s=common&amp;p=10&amp;n=0&amp;S=77%2E39%2E14%2E000&amp;N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fc=1&amp;fg=0&amp;new=773914.000.000000" TargetMode="External"/><Relationship Id="rId24" Type="http://schemas.openxmlformats.org/officeDocument/2006/relationships/hyperlink" Target="https://enstru.kz/code_new.jsp?&amp;s=common&amp;p=10&amp;n=0&amp;fc=1&amp;fg=0&amp;new=611011.200.000000" TargetMode="External"/><Relationship Id="rId40" Type="http://schemas.openxmlformats.org/officeDocument/2006/relationships/hyperlink" Target="https://enstru.kz/code_new.jsp?&amp;s=common&amp;p=10&amp;n=0&amp;fc=1&amp;fg=0&amp;new=620920.000.000001" TargetMode="External"/><Relationship Id="rId45" Type="http://schemas.openxmlformats.org/officeDocument/2006/relationships/hyperlink" Target="https://enstru.kz/code_new.jsp?&amp;s=common&amp;p=10&amp;n=0&amp;fc=1&amp;fg=0&amp;new=639910.000.000001" TargetMode="External"/><Relationship Id="rId66" Type="http://schemas.openxmlformats.org/officeDocument/2006/relationships/hyperlink" Target="https://enstru.kz/code_new.jsp?&amp;t=%D0%B1%D0%B0%D1%82%D0%B0%D1%80%D0%B5%D0%B9%D0%BA&amp;s=common&amp;p=10&amp;n=0&amp;S=27%2E20%2E11%2E900&amp;N=%D0%91%D0%B0%D1%82%D0%B0%D1%80%D0%B5%D0%B9%D0%BA%D0%B0&amp;fc=1&amp;fg=1&amp;new=272011.900.00000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6" sqref="A6"/>
    </sheetView>
  </sheetViews>
  <sheetFormatPr defaultRowHeight="15"/>
  <cols>
    <col min="1" max="1" width="42" style="496" customWidth="1"/>
    <col min="2" max="2" width="18" style="493" customWidth="1"/>
    <col min="3" max="3" width="18.28515625" style="493" customWidth="1"/>
  </cols>
  <sheetData>
    <row r="2" spans="1:3" ht="30">
      <c r="A2" s="489" t="s">
        <v>1507</v>
      </c>
      <c r="B2" s="490" t="s">
        <v>1508</v>
      </c>
      <c r="C2" s="490" t="s">
        <v>1509</v>
      </c>
    </row>
    <row r="3" spans="1:3">
      <c r="A3" s="491" t="s">
        <v>999</v>
      </c>
      <c r="B3" s="492">
        <v>499098</v>
      </c>
      <c r="C3" s="493">
        <f>B3/1.12</f>
        <v>445623.21428571426</v>
      </c>
    </row>
    <row r="4" spans="1:3">
      <c r="A4" s="491" t="s">
        <v>1021</v>
      </c>
      <c r="B4" s="492">
        <v>218089</v>
      </c>
      <c r="C4" s="493">
        <f t="shared" ref="C4:C7" si="0">B4/1.12</f>
        <v>194722.32142857142</v>
      </c>
    </row>
    <row r="5" spans="1:3">
      <c r="A5" s="491" t="s">
        <v>1510</v>
      </c>
      <c r="B5" s="492">
        <v>114897.87</v>
      </c>
      <c r="C5" s="493">
        <f t="shared" si="0"/>
        <v>102587.38392857142</v>
      </c>
    </row>
    <row r="6" spans="1:3">
      <c r="A6" s="491" t="s">
        <v>1511</v>
      </c>
      <c r="B6" s="492">
        <f>B3</f>
        <v>499098</v>
      </c>
      <c r="C6" s="493">
        <f t="shared" si="0"/>
        <v>445623.21428571426</v>
      </c>
    </row>
    <row r="7" spans="1:3">
      <c r="A7" s="491" t="s">
        <v>1008</v>
      </c>
      <c r="B7" s="492">
        <f>B3</f>
        <v>499098</v>
      </c>
      <c r="C7" s="493">
        <f t="shared" si="0"/>
        <v>445623.21428571426</v>
      </c>
    </row>
    <row r="8" spans="1:3">
      <c r="A8" s="494" t="s">
        <v>1512</v>
      </c>
      <c r="B8" s="495">
        <f>SUM(B3:B7)</f>
        <v>1830280.87</v>
      </c>
      <c r="C8" s="495">
        <f>SUM(C3:C7)</f>
        <v>1634179.3482142857</v>
      </c>
    </row>
    <row r="9" spans="1:3">
      <c r="B9" s="493" t="s">
        <v>1069</v>
      </c>
    </row>
    <row r="12" spans="1:3" ht="15.75">
      <c r="A12" s="497">
        <v>45219</v>
      </c>
    </row>
    <row r="13" spans="1:3" ht="15.75">
      <c r="A13" s="498" t="s">
        <v>1513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topLeftCell="H1" zoomScale="60" zoomScaleNormal="100" workbookViewId="0">
      <selection activeCell="O10" sqref="O10:O11"/>
    </sheetView>
  </sheetViews>
  <sheetFormatPr defaultRowHeight="15"/>
  <cols>
    <col min="1" max="2" width="9.28515625" bestFit="1" customWidth="1"/>
    <col min="3" max="3" width="68.28515625" customWidth="1"/>
    <col min="4" max="5" width="9.28515625" bestFit="1" customWidth="1"/>
    <col min="6" max="6" width="14.85546875" bestFit="1" customWidth="1"/>
    <col min="7" max="7" width="15.28515625" customWidth="1"/>
    <col min="8" max="8" width="23" customWidth="1"/>
    <col min="9" max="9" width="19.42578125" customWidth="1"/>
    <col min="10" max="10" width="16.5703125" customWidth="1"/>
    <col min="11" max="11" width="35.7109375" customWidth="1"/>
    <col min="12" max="16" width="26.140625" customWidth="1"/>
  </cols>
  <sheetData>
    <row r="1" spans="1:16">
      <c r="B1" s="132" t="s">
        <v>918</v>
      </c>
      <c r="C1" s="132"/>
      <c r="D1" s="132"/>
      <c r="E1" s="132"/>
      <c r="F1" s="132" t="s">
        <v>919</v>
      </c>
      <c r="G1" s="133"/>
      <c r="I1" s="133"/>
      <c r="K1" s="134"/>
    </row>
    <row r="2" spans="1:16">
      <c r="B2" s="132" t="s">
        <v>920</v>
      </c>
      <c r="F2" s="131"/>
      <c r="G2" s="133"/>
      <c r="I2" s="133"/>
      <c r="J2" s="135"/>
      <c r="K2" s="134"/>
    </row>
    <row r="3" spans="1:16" ht="43.5">
      <c r="A3" s="136" t="s">
        <v>921</v>
      </c>
      <c r="B3" s="137" t="s">
        <v>922</v>
      </c>
      <c r="C3" s="137" t="s">
        <v>923</v>
      </c>
      <c r="D3" s="136" t="s">
        <v>924</v>
      </c>
      <c r="E3" s="138" t="s">
        <v>925</v>
      </c>
      <c r="F3" s="139" t="s">
        <v>926</v>
      </c>
      <c r="G3" s="140" t="s">
        <v>927</v>
      </c>
      <c r="H3" s="141" t="s">
        <v>928</v>
      </c>
      <c r="I3" s="142" t="s">
        <v>929</v>
      </c>
      <c r="J3" s="143" t="s">
        <v>930</v>
      </c>
      <c r="K3" s="144" t="s">
        <v>931</v>
      </c>
      <c r="L3" s="144" t="s">
        <v>932</v>
      </c>
      <c r="M3" s="144" t="s">
        <v>933</v>
      </c>
      <c r="N3" s="145" t="s">
        <v>934</v>
      </c>
      <c r="O3" s="144" t="s">
        <v>935</v>
      </c>
      <c r="P3" s="146" t="s">
        <v>936</v>
      </c>
    </row>
    <row r="4" spans="1:16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8">
        <v>6</v>
      </c>
      <c r="G4" s="149">
        <v>7</v>
      </c>
      <c r="H4" s="147"/>
      <c r="I4" s="149"/>
      <c r="J4" s="150">
        <v>8</v>
      </c>
      <c r="K4" s="151"/>
      <c r="L4" s="152"/>
      <c r="M4" s="152"/>
      <c r="N4" s="152"/>
      <c r="O4" s="152"/>
      <c r="P4" s="152"/>
    </row>
    <row r="5" spans="1:16" ht="38.25">
      <c r="A5" s="153"/>
      <c r="B5" s="154" t="s">
        <v>937</v>
      </c>
      <c r="C5" s="155"/>
      <c r="D5" s="155"/>
      <c r="E5" s="155"/>
      <c r="F5" s="155"/>
      <c r="G5" s="156">
        <f>SUM(G6:G12)</f>
        <v>115318752.94715305</v>
      </c>
      <c r="H5" s="157">
        <f>SUM(H6:H12)</f>
        <v>129157003.30081142</v>
      </c>
      <c r="I5" s="156">
        <f>SUM(I6:I12)</f>
        <v>129157003.30081142</v>
      </c>
      <c r="J5" s="158"/>
      <c r="K5" s="159"/>
      <c r="L5" s="160"/>
      <c r="M5" s="160"/>
      <c r="N5" s="160"/>
      <c r="O5" s="160"/>
      <c r="P5" s="160"/>
    </row>
    <row r="6" spans="1:16" ht="77.25">
      <c r="A6" s="161" t="s">
        <v>938</v>
      </c>
      <c r="B6" s="570" t="s">
        <v>939</v>
      </c>
      <c r="C6" s="162" t="s">
        <v>131</v>
      </c>
      <c r="D6" s="163" t="s">
        <v>680</v>
      </c>
      <c r="E6" s="164">
        <v>1</v>
      </c>
      <c r="F6" s="165">
        <v>16920000</v>
      </c>
      <c r="G6" s="166">
        <f>F6</f>
        <v>16920000</v>
      </c>
      <c r="H6" s="167">
        <f>F6*1.12</f>
        <v>18950400</v>
      </c>
      <c r="I6" s="168">
        <f>F6*1.12</f>
        <v>18950400</v>
      </c>
      <c r="J6" s="169" t="s">
        <v>940</v>
      </c>
      <c r="K6" s="159" t="s">
        <v>941</v>
      </c>
      <c r="L6" s="170">
        <v>16920000</v>
      </c>
      <c r="M6" s="170">
        <v>11844000</v>
      </c>
      <c r="N6" s="170">
        <v>2464000</v>
      </c>
      <c r="O6" s="230">
        <v>3559111.111111111</v>
      </c>
      <c r="P6" s="170">
        <v>-15391288.888888888</v>
      </c>
    </row>
    <row r="7" spans="1:16" ht="63.75">
      <c r="A7" s="161" t="s">
        <v>84</v>
      </c>
      <c r="B7" s="571"/>
      <c r="C7" s="171" t="s">
        <v>222</v>
      </c>
      <c r="D7" s="163" t="s">
        <v>680</v>
      </c>
      <c r="E7" s="164">
        <v>1</v>
      </c>
      <c r="F7" s="172">
        <v>44955213.750000045</v>
      </c>
      <c r="G7" s="166">
        <v>44955213.750000045</v>
      </c>
      <c r="H7" s="167">
        <f t="shared" ref="H7:H10" si="0">F7*1.12</f>
        <v>50349839.400000058</v>
      </c>
      <c r="I7" s="168">
        <f t="shared" ref="I7:I10" si="1">F7*1.12</f>
        <v>50349839.400000058</v>
      </c>
      <c r="J7" s="169" t="s">
        <v>942</v>
      </c>
      <c r="K7" s="159" t="s">
        <v>943</v>
      </c>
      <c r="L7" s="170">
        <v>44955213.75</v>
      </c>
      <c r="M7" s="170">
        <v>44800000</v>
      </c>
      <c r="N7" s="170">
        <v>4665340</v>
      </c>
      <c r="O7" s="230">
        <v>6738824.444444445</v>
      </c>
      <c r="P7" s="170">
        <v>-43611014.95555561</v>
      </c>
    </row>
    <row r="8" spans="1:16" ht="39">
      <c r="A8" s="161" t="s">
        <v>944</v>
      </c>
      <c r="B8" s="571"/>
      <c r="C8" s="173" t="s">
        <v>945</v>
      </c>
      <c r="D8" s="163" t="s">
        <v>680</v>
      </c>
      <c r="E8" s="164">
        <v>1</v>
      </c>
      <c r="F8" s="174">
        <v>8039556</v>
      </c>
      <c r="G8" s="165">
        <v>8039556</v>
      </c>
      <c r="H8" s="167">
        <f t="shared" si="0"/>
        <v>9004302.7200000007</v>
      </c>
      <c r="I8" s="168">
        <f t="shared" si="1"/>
        <v>9004302.7200000007</v>
      </c>
      <c r="J8" s="169" t="s">
        <v>946</v>
      </c>
      <c r="K8" s="159" t="s">
        <v>947</v>
      </c>
      <c r="L8" s="170">
        <v>8039556</v>
      </c>
      <c r="M8" s="170">
        <v>9004302.7200000007</v>
      </c>
      <c r="N8" s="170">
        <v>2989133.28</v>
      </c>
      <c r="O8" s="230">
        <v>4317636.96</v>
      </c>
      <c r="P8" s="170">
        <v>-4686665.7600000007</v>
      </c>
    </row>
    <row r="9" spans="1:16" ht="26.25">
      <c r="A9" s="175"/>
      <c r="B9" s="571"/>
      <c r="C9" s="176" t="s">
        <v>878</v>
      </c>
      <c r="D9" s="163"/>
      <c r="E9" s="164"/>
      <c r="F9" s="174"/>
      <c r="G9" s="165"/>
      <c r="H9" s="167"/>
      <c r="I9" s="168"/>
      <c r="J9" s="169" t="s">
        <v>948</v>
      </c>
      <c r="K9" s="159" t="s">
        <v>949</v>
      </c>
      <c r="L9" s="170">
        <v>359998</v>
      </c>
      <c r="M9" s="170">
        <v>403197.76</v>
      </c>
      <c r="N9" s="170">
        <v>159912.48000000001</v>
      </c>
      <c r="O9" s="230">
        <v>403197.76</v>
      </c>
      <c r="P9" s="170">
        <v>0</v>
      </c>
    </row>
    <row r="10" spans="1:16" ht="51.75">
      <c r="A10" s="573" t="s">
        <v>101</v>
      </c>
      <c r="B10" s="571"/>
      <c r="C10" s="575" t="s">
        <v>102</v>
      </c>
      <c r="D10" s="163" t="s">
        <v>680</v>
      </c>
      <c r="E10" s="164">
        <v>1</v>
      </c>
      <c r="F10" s="168">
        <v>21554020.777152993</v>
      </c>
      <c r="G10" s="167">
        <v>21554020.777152993</v>
      </c>
      <c r="H10" s="167">
        <f t="shared" si="0"/>
        <v>24140503.270411354</v>
      </c>
      <c r="I10" s="168">
        <f t="shared" si="1"/>
        <v>24140503.270411354</v>
      </c>
      <c r="J10" s="169" t="s">
        <v>134</v>
      </c>
      <c r="K10" s="159" t="s">
        <v>950</v>
      </c>
      <c r="L10" s="170">
        <v>21554020.780000001</v>
      </c>
      <c r="M10" s="170">
        <v>15700000</v>
      </c>
      <c r="N10" s="170">
        <v>263506.75</v>
      </c>
      <c r="O10" s="230">
        <v>1200000</v>
      </c>
      <c r="P10" s="170">
        <v>-22940503.270411354</v>
      </c>
    </row>
    <row r="11" spans="1:16" ht="39">
      <c r="A11" s="574"/>
      <c r="B11" s="571"/>
      <c r="C11" s="576"/>
      <c r="D11" s="163" t="s">
        <v>680</v>
      </c>
      <c r="E11" s="164">
        <v>1</v>
      </c>
      <c r="F11" s="168">
        <v>16482486.48</v>
      </c>
      <c r="G11" s="167">
        <v>16482486.48</v>
      </c>
      <c r="H11" s="167">
        <f>F11*1.12</f>
        <v>18460384.857600003</v>
      </c>
      <c r="I11" s="168">
        <f>G11*1.12</f>
        <v>18460384.857600003</v>
      </c>
      <c r="J11" s="169" t="s">
        <v>136</v>
      </c>
      <c r="K11" s="159" t="s">
        <v>951</v>
      </c>
      <c r="L11" s="170">
        <v>16482486.48</v>
      </c>
      <c r="M11" s="170">
        <v>11700000</v>
      </c>
      <c r="N11" s="170">
        <v>0</v>
      </c>
      <c r="O11" s="230">
        <v>1000000</v>
      </c>
      <c r="P11" s="170">
        <v>-17460384.857600003</v>
      </c>
    </row>
    <row r="12" spans="1:16" ht="76.5">
      <c r="A12" s="161" t="s">
        <v>464</v>
      </c>
      <c r="B12" s="572"/>
      <c r="C12" s="173" t="s">
        <v>952</v>
      </c>
      <c r="D12" s="163" t="s">
        <v>680</v>
      </c>
      <c r="E12" s="164">
        <v>1</v>
      </c>
      <c r="F12" s="177">
        <v>7367475.9400000004</v>
      </c>
      <c r="G12" s="178">
        <v>7367475.9400000004</v>
      </c>
      <c r="H12" s="167">
        <f>F12*1.12</f>
        <v>8251573.0528000016</v>
      </c>
      <c r="I12" s="168">
        <f>G12*1.12</f>
        <v>8251573.0528000016</v>
      </c>
      <c r="J12" s="179" t="s">
        <v>953</v>
      </c>
      <c r="K12" s="180" t="s">
        <v>954</v>
      </c>
      <c r="L12" s="170">
        <v>7367476.2000000002</v>
      </c>
      <c r="M12" s="170">
        <v>2888365</v>
      </c>
      <c r="N12" s="170">
        <v>480635.75</v>
      </c>
      <c r="O12" s="230">
        <v>1315772.6100000001</v>
      </c>
      <c r="P12" s="170">
        <v>-6935800.4400000004</v>
      </c>
    </row>
    <row r="13" spans="1:16">
      <c r="A13" s="161"/>
      <c r="B13" s="181" t="s">
        <v>955</v>
      </c>
      <c r="C13" s="163"/>
      <c r="D13" s="163"/>
      <c r="E13" s="167"/>
      <c r="F13" s="167"/>
      <c r="G13" s="182">
        <f>SUM(G14:G18)</f>
        <v>8013609963.8157091</v>
      </c>
      <c r="H13" s="182">
        <f t="shared" ref="H13:I13" si="2">SUM(H14:H18)</f>
        <v>8858831074.6143627</v>
      </c>
      <c r="I13" s="182">
        <f t="shared" si="2"/>
        <v>8858831074.6143627</v>
      </c>
      <c r="J13" s="169"/>
      <c r="K13" s="183"/>
      <c r="L13" s="184"/>
      <c r="M13" s="184"/>
      <c r="N13" s="184"/>
      <c r="O13" s="184"/>
      <c r="P13" s="184"/>
    </row>
    <row r="14" spans="1:16" ht="63.75">
      <c r="A14" s="161"/>
      <c r="B14" s="185"/>
      <c r="C14" s="186" t="s">
        <v>956</v>
      </c>
      <c r="D14" s="163" t="s">
        <v>680</v>
      </c>
      <c r="E14" s="164">
        <v>1</v>
      </c>
      <c r="F14" s="164">
        <v>7043461256.6554499</v>
      </c>
      <c r="G14" s="164">
        <v>7043461256.6554451</v>
      </c>
      <c r="H14" s="164">
        <v>7888676607.4540997</v>
      </c>
      <c r="I14" s="164">
        <v>7888676607.4540997</v>
      </c>
      <c r="J14" s="169" t="s">
        <v>957</v>
      </c>
      <c r="K14" s="187" t="s">
        <v>958</v>
      </c>
      <c r="L14" s="188">
        <v>7043461256.6554499</v>
      </c>
      <c r="M14" s="188">
        <v>6907194978.8999996</v>
      </c>
      <c r="N14" s="188">
        <v>5096067312.4300003</v>
      </c>
      <c r="O14" s="188">
        <v>7271413512.4902</v>
      </c>
      <c r="P14" s="188">
        <v>-617263094.96389961</v>
      </c>
    </row>
    <row r="15" spans="1:16" ht="38.25">
      <c r="A15" s="189"/>
      <c r="B15" s="185"/>
      <c r="C15" s="173" t="s">
        <v>959</v>
      </c>
      <c r="D15" s="163"/>
      <c r="E15" s="164">
        <v>1</v>
      </c>
      <c r="F15" s="190">
        <v>5000000</v>
      </c>
      <c r="G15" s="190">
        <v>5000000</v>
      </c>
      <c r="H15" s="190">
        <v>5000000</v>
      </c>
      <c r="I15" s="190">
        <v>5000000</v>
      </c>
      <c r="J15" s="169" t="s">
        <v>959</v>
      </c>
      <c r="K15" s="187" t="s">
        <v>960</v>
      </c>
      <c r="L15" s="170">
        <v>5000000</v>
      </c>
      <c r="M15" s="184"/>
      <c r="N15" s="191">
        <v>26888486.109999999</v>
      </c>
      <c r="O15" s="170">
        <v>30000000</v>
      </c>
      <c r="P15" s="188">
        <v>25000000</v>
      </c>
    </row>
    <row r="16" spans="1:16" ht="114.75">
      <c r="A16" s="189"/>
      <c r="B16" s="185"/>
      <c r="C16" s="163" t="s">
        <v>961</v>
      </c>
      <c r="D16" s="163"/>
      <c r="E16" s="164">
        <v>1</v>
      </c>
      <c r="F16" s="190">
        <v>951559264.30599988</v>
      </c>
      <c r="G16" s="190">
        <v>951559264.30599988</v>
      </c>
      <c r="H16" s="190">
        <v>951559264.30599988</v>
      </c>
      <c r="I16" s="190">
        <v>951559264.30599988</v>
      </c>
      <c r="J16" s="169" t="s">
        <v>962</v>
      </c>
      <c r="K16" s="187" t="s">
        <v>963</v>
      </c>
      <c r="L16" s="170"/>
      <c r="M16" s="192"/>
      <c r="N16" s="170">
        <v>209133449.30000001</v>
      </c>
      <c r="O16" s="170">
        <v>247457007.78999996</v>
      </c>
      <c r="P16" s="170">
        <v>-704102256.51599991</v>
      </c>
    </row>
    <row r="17" spans="1:16" ht="127.5">
      <c r="A17" s="193"/>
      <c r="B17" s="194"/>
      <c r="C17" s="195" t="s">
        <v>964</v>
      </c>
      <c r="D17" s="195"/>
      <c r="E17" s="196">
        <v>1</v>
      </c>
      <c r="F17" s="197">
        <v>13541442.85426425</v>
      </c>
      <c r="G17" s="197">
        <v>13541442.85426425</v>
      </c>
      <c r="H17" s="197">
        <v>13541442.85426425</v>
      </c>
      <c r="I17" s="197">
        <v>13541442.85426425</v>
      </c>
      <c r="J17" s="198" t="s">
        <v>965</v>
      </c>
      <c r="K17" s="199" t="s">
        <v>966</v>
      </c>
      <c r="L17" s="200"/>
      <c r="M17" s="184"/>
      <c r="N17" s="170">
        <v>11716773.52</v>
      </c>
      <c r="O17" s="170">
        <v>13541442.85</v>
      </c>
      <c r="P17" s="201">
        <v>0</v>
      </c>
    </row>
    <row r="18" spans="1:16" ht="77.25">
      <c r="A18" s="193"/>
      <c r="B18" s="193"/>
      <c r="C18" s="193" t="s">
        <v>967</v>
      </c>
      <c r="D18" s="193"/>
      <c r="E18" s="196">
        <v>1</v>
      </c>
      <c r="F18" s="202">
        <v>48000</v>
      </c>
      <c r="G18" s="202">
        <v>48000</v>
      </c>
      <c r="H18" s="203">
        <f>G18*1.12</f>
        <v>53760.000000000007</v>
      </c>
      <c r="I18" s="203">
        <v>53760</v>
      </c>
      <c r="J18" s="169" t="s">
        <v>968</v>
      </c>
      <c r="K18" s="159" t="s">
        <v>969</v>
      </c>
      <c r="L18" s="170">
        <v>48000</v>
      </c>
      <c r="M18" s="201">
        <v>0</v>
      </c>
      <c r="N18" s="201">
        <v>0</v>
      </c>
      <c r="O18" s="488">
        <v>47880</v>
      </c>
      <c r="P18" s="170">
        <f>O18-I18</f>
        <v>-5880</v>
      </c>
    </row>
  </sheetData>
  <mergeCells count="3">
    <mergeCell ref="B6:B12"/>
    <mergeCell ref="A10:A11"/>
    <mergeCell ref="C10:C11"/>
  </mergeCells>
  <pageMargins left="0.23622047244094491" right="0.23622047244094491" top="0.74803149606299213" bottom="0.74803149606299213" header="0.31496062992125984" footer="0.31496062992125984"/>
  <pageSetup paperSize="9" scale="3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38"/>
  <sheetViews>
    <sheetView tabSelected="1" view="pageBreakPreview" topLeftCell="C209" zoomScale="70" zoomScaleNormal="70" zoomScaleSheetLayoutView="70" zoomScalePageLayoutView="30" workbookViewId="0">
      <selection activeCell="AB12" sqref="AB12"/>
    </sheetView>
  </sheetViews>
  <sheetFormatPr defaultColWidth="9" defaultRowHeight="15.75"/>
  <cols>
    <col min="1" max="1" width="7.28515625" style="2" customWidth="1"/>
    <col min="2" max="2" width="15.42578125" style="2" customWidth="1"/>
    <col min="3" max="3" width="12.5703125" style="2" customWidth="1"/>
    <col min="4" max="4" width="18.28515625" style="3" customWidth="1"/>
    <col min="5" max="5" width="21.7109375" style="2" customWidth="1"/>
    <col min="6" max="6" width="22.7109375" style="2" customWidth="1"/>
    <col min="7" max="7" width="20.42578125" style="2" customWidth="1"/>
    <col min="8" max="8" width="26.7109375" style="2" customWidth="1"/>
    <col min="9" max="9" width="29" style="2" customWidth="1"/>
    <col min="10" max="10" width="32.28515625" style="2" customWidth="1"/>
    <col min="11" max="11" width="16.28515625" style="2" customWidth="1"/>
    <col min="12" max="12" width="13.7109375" style="2" customWidth="1"/>
    <col min="13" max="13" width="9.28515625" style="2" customWidth="1"/>
    <col min="14" max="14" width="12.28515625" style="4" bestFit="1" customWidth="1"/>
    <col min="15" max="15" width="17.28515625" style="4" customWidth="1"/>
    <col min="16" max="16" width="20" style="4" customWidth="1"/>
    <col min="17" max="17" width="14.7109375" style="2" customWidth="1"/>
    <col min="18" max="18" width="18.28515625" style="5" customWidth="1"/>
    <col min="19" max="19" width="15.5703125" style="5" customWidth="1"/>
    <col min="20" max="20" width="10.7109375" style="2" customWidth="1"/>
    <col min="21" max="21" width="13.42578125" style="2" customWidth="1"/>
    <col min="22" max="22" width="13.5703125" style="2" customWidth="1"/>
    <col min="23" max="23" width="9.5703125" style="2" customWidth="1"/>
    <col min="24" max="24" width="14.42578125" style="2" customWidth="1"/>
    <col min="25" max="16384" width="9" style="2"/>
  </cols>
  <sheetData>
    <row r="1" spans="1:24" ht="56.25" customHeight="1">
      <c r="S1" s="516" t="s">
        <v>741</v>
      </c>
      <c r="T1" s="517"/>
      <c r="U1" s="517"/>
      <c r="V1" s="517"/>
      <c r="W1" s="517"/>
      <c r="X1" s="517"/>
    </row>
    <row r="2" spans="1:24" ht="55.5" customHeight="1">
      <c r="S2" s="501" t="s">
        <v>425</v>
      </c>
      <c r="T2" s="501"/>
      <c r="U2" s="501"/>
      <c r="V2" s="501"/>
      <c r="W2" s="501"/>
      <c r="X2" s="501"/>
    </row>
    <row r="3" spans="1:24" ht="23.25" customHeight="1">
      <c r="H3" s="518" t="s">
        <v>742</v>
      </c>
      <c r="I3" s="519"/>
      <c r="J3" s="519"/>
      <c r="K3" s="519"/>
      <c r="S3" s="121"/>
      <c r="T3" s="121"/>
      <c r="U3" s="121"/>
      <c r="V3" s="121"/>
      <c r="W3" s="121"/>
      <c r="X3" s="121"/>
    </row>
    <row r="4" spans="1:24" ht="15.75" customHeight="1">
      <c r="A4" s="515" t="s">
        <v>426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6"/>
      <c r="U4" s="7"/>
      <c r="V4" s="7"/>
      <c r="W4" s="7"/>
      <c r="X4" s="78"/>
    </row>
    <row r="5" spans="1:24">
      <c r="A5" s="514" t="s">
        <v>0</v>
      </c>
      <c r="B5" s="514"/>
      <c r="C5" s="514"/>
      <c r="D5" s="514"/>
      <c r="E5" s="514"/>
      <c r="F5" s="514"/>
      <c r="G5" s="8"/>
      <c r="H5" s="8"/>
      <c r="I5" s="9"/>
      <c r="J5" s="9"/>
      <c r="K5" s="6"/>
      <c r="L5" s="6"/>
      <c r="M5" s="6"/>
      <c r="N5" s="10"/>
      <c r="O5" s="11"/>
      <c r="P5" s="11"/>
      <c r="Q5" s="8"/>
      <c r="R5" s="8"/>
      <c r="S5" s="6"/>
      <c r="T5" s="6"/>
      <c r="U5" s="7"/>
      <c r="V5" s="7"/>
      <c r="W5" s="7"/>
      <c r="X5" s="78"/>
    </row>
    <row r="6" spans="1:24" ht="15.75" customHeight="1">
      <c r="A6" s="502" t="s">
        <v>1</v>
      </c>
      <c r="B6" s="502"/>
      <c r="C6" s="508" t="s">
        <v>2</v>
      </c>
      <c r="D6" s="509"/>
      <c r="E6" s="502" t="s">
        <v>3</v>
      </c>
      <c r="F6" s="502" t="s">
        <v>4</v>
      </c>
      <c r="G6" s="12"/>
      <c r="H6" s="9"/>
      <c r="I6" s="9"/>
      <c r="J6" s="9"/>
      <c r="K6" s="6"/>
      <c r="L6" s="6"/>
      <c r="M6" s="13"/>
      <c r="N6" s="10"/>
      <c r="O6" s="11"/>
      <c r="P6" s="11"/>
      <c r="Q6" s="8"/>
      <c r="R6" s="8"/>
      <c r="S6" s="6"/>
      <c r="T6" s="6"/>
      <c r="U6" s="7"/>
      <c r="V6" s="7"/>
      <c r="W6" s="7"/>
      <c r="X6" s="78"/>
    </row>
    <row r="7" spans="1:24" ht="30" customHeight="1">
      <c r="A7" s="502"/>
      <c r="B7" s="502"/>
      <c r="C7" s="510"/>
      <c r="D7" s="511"/>
      <c r="E7" s="502"/>
      <c r="F7" s="502"/>
      <c r="G7" s="14"/>
      <c r="H7" s="9"/>
      <c r="I7" s="9"/>
      <c r="J7" s="9"/>
      <c r="K7" s="13"/>
      <c r="L7" s="13"/>
      <c r="M7" s="13"/>
      <c r="N7" s="15"/>
      <c r="O7" s="16"/>
      <c r="P7" s="16"/>
      <c r="Q7" s="17"/>
      <c r="R7" s="17"/>
      <c r="S7" s="13"/>
      <c r="T7" s="13"/>
      <c r="U7" s="18"/>
      <c r="V7" s="18"/>
      <c r="W7" s="18"/>
      <c r="X7" s="13"/>
    </row>
    <row r="8" spans="1:24">
      <c r="A8" s="504">
        <v>1</v>
      </c>
      <c r="B8" s="504"/>
      <c r="C8" s="512">
        <v>2</v>
      </c>
      <c r="D8" s="513"/>
      <c r="E8" s="19">
        <v>3</v>
      </c>
      <c r="F8" s="19">
        <v>4</v>
      </c>
      <c r="G8" s="14"/>
      <c r="H8" s="9"/>
      <c r="I8" s="9"/>
      <c r="J8" s="9"/>
      <c r="K8" s="13"/>
      <c r="L8" s="13"/>
      <c r="M8" s="20"/>
      <c r="N8" s="15"/>
      <c r="O8" s="16"/>
      <c r="P8" s="16"/>
      <c r="Q8" s="17"/>
      <c r="R8" s="17"/>
      <c r="S8" s="13"/>
      <c r="T8" s="13"/>
      <c r="U8" s="18"/>
      <c r="V8" s="18"/>
      <c r="W8" s="18"/>
      <c r="X8" s="13"/>
    </row>
    <row r="9" spans="1:24" ht="54.75" customHeight="1">
      <c r="A9" s="507" t="s">
        <v>5</v>
      </c>
      <c r="B9" s="507"/>
      <c r="C9" s="505" t="s">
        <v>6</v>
      </c>
      <c r="D9" s="506"/>
      <c r="E9" s="21" t="s">
        <v>7</v>
      </c>
      <c r="F9" s="19">
        <v>2023</v>
      </c>
      <c r="G9" s="17"/>
      <c r="H9" s="9"/>
      <c r="I9" s="9"/>
      <c r="J9" s="9"/>
      <c r="K9" s="13"/>
      <c r="L9" s="13"/>
      <c r="M9" s="13"/>
      <c r="N9" s="15"/>
      <c r="O9" s="16"/>
      <c r="P9" s="16"/>
      <c r="Q9" s="17"/>
      <c r="R9" s="17"/>
      <c r="S9" s="13"/>
      <c r="T9" s="13"/>
      <c r="U9" s="18"/>
      <c r="V9" s="18"/>
      <c r="W9" s="18"/>
      <c r="X9" s="13"/>
    </row>
    <row r="10" spans="1:24">
      <c r="A10" s="503" t="s">
        <v>8</v>
      </c>
      <c r="B10" s="503"/>
      <c r="C10" s="503"/>
      <c r="D10" s="503"/>
      <c r="E10" s="503"/>
      <c r="F10" s="22"/>
      <c r="G10" s="8"/>
      <c r="H10" s="8"/>
      <c r="I10" s="9"/>
      <c r="J10" s="23"/>
      <c r="K10" s="6"/>
      <c r="L10" s="6"/>
      <c r="M10" s="6"/>
      <c r="N10" s="10"/>
      <c r="O10" s="11"/>
      <c r="P10" s="11"/>
      <c r="Q10" s="8"/>
      <c r="R10" s="8"/>
      <c r="S10" s="6"/>
      <c r="T10" s="6"/>
      <c r="U10" s="7"/>
      <c r="V10" s="7"/>
      <c r="W10" s="7"/>
      <c r="X10" s="78"/>
    </row>
    <row r="11" spans="1:24" ht="15" customHeight="1">
      <c r="A11" s="500" t="s">
        <v>9</v>
      </c>
      <c r="B11" s="500" t="s">
        <v>10</v>
      </c>
      <c r="C11" s="500" t="s">
        <v>11</v>
      </c>
      <c r="D11" s="500" t="s">
        <v>27</v>
      </c>
      <c r="E11" s="530" t="s">
        <v>28</v>
      </c>
      <c r="F11" s="530" t="s">
        <v>29</v>
      </c>
      <c r="G11" s="528" t="s">
        <v>30</v>
      </c>
      <c r="H11" s="528" t="s">
        <v>31</v>
      </c>
      <c r="I11" s="500" t="s">
        <v>12</v>
      </c>
      <c r="J11" s="500" t="s">
        <v>13</v>
      </c>
      <c r="K11" s="500" t="s">
        <v>14</v>
      </c>
      <c r="L11" s="500" t="s">
        <v>67</v>
      </c>
      <c r="M11" s="528" t="s">
        <v>32</v>
      </c>
      <c r="N11" s="523" t="s">
        <v>15</v>
      </c>
      <c r="O11" s="523" t="s">
        <v>16</v>
      </c>
      <c r="P11" s="522" t="s">
        <v>17</v>
      </c>
      <c r="Q11" s="521" t="s">
        <v>18</v>
      </c>
      <c r="R11" s="500" t="s">
        <v>33</v>
      </c>
      <c r="S11" s="500" t="s">
        <v>34</v>
      </c>
      <c r="T11" s="521" t="s">
        <v>19</v>
      </c>
      <c r="U11" s="521" t="s">
        <v>39</v>
      </c>
      <c r="V11" s="521" t="s">
        <v>38</v>
      </c>
      <c r="W11" s="520" t="s">
        <v>20</v>
      </c>
      <c r="X11" s="520" t="s">
        <v>35</v>
      </c>
    </row>
    <row r="12" spans="1:24" ht="127.5" customHeight="1">
      <c r="A12" s="500"/>
      <c r="B12" s="500"/>
      <c r="C12" s="500"/>
      <c r="D12" s="500"/>
      <c r="E12" s="530"/>
      <c r="F12" s="530"/>
      <c r="G12" s="528"/>
      <c r="H12" s="528"/>
      <c r="I12" s="500"/>
      <c r="J12" s="500"/>
      <c r="K12" s="500"/>
      <c r="L12" s="500"/>
      <c r="M12" s="528"/>
      <c r="N12" s="523"/>
      <c r="O12" s="523"/>
      <c r="P12" s="522"/>
      <c r="Q12" s="521"/>
      <c r="R12" s="500"/>
      <c r="S12" s="500"/>
      <c r="T12" s="521"/>
      <c r="U12" s="521"/>
      <c r="V12" s="521"/>
      <c r="W12" s="520"/>
      <c r="X12" s="520"/>
    </row>
    <row r="13" spans="1:24" s="25" customForma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  <c r="L13" s="24"/>
      <c r="M13" s="24">
        <v>12</v>
      </c>
      <c r="N13" s="24">
        <v>13</v>
      </c>
      <c r="O13" s="24">
        <v>14</v>
      </c>
      <c r="P13" s="24">
        <v>15</v>
      </c>
      <c r="Q13" s="24">
        <v>16</v>
      </c>
      <c r="R13" s="24">
        <v>17</v>
      </c>
      <c r="S13" s="24">
        <v>18</v>
      </c>
      <c r="T13" s="24">
        <v>19</v>
      </c>
      <c r="U13" s="24">
        <v>20</v>
      </c>
      <c r="V13" s="24">
        <v>21</v>
      </c>
      <c r="W13" s="24">
        <v>22</v>
      </c>
      <c r="X13" s="24">
        <v>23</v>
      </c>
    </row>
    <row r="14" spans="1:24" s="27" customFormat="1" ht="95.25" customHeight="1">
      <c r="A14" s="26">
        <v>1</v>
      </c>
      <c r="B14" s="26" t="s">
        <v>21</v>
      </c>
      <c r="C14" s="76" t="s">
        <v>23</v>
      </c>
      <c r="D14" s="57" t="s">
        <v>83</v>
      </c>
      <c r="E14" s="57" t="s">
        <v>249</v>
      </c>
      <c r="F14" s="57" t="s">
        <v>182</v>
      </c>
      <c r="G14" s="57" t="s">
        <v>249</v>
      </c>
      <c r="H14" s="57" t="s">
        <v>182</v>
      </c>
      <c r="I14" s="76" t="s">
        <v>132</v>
      </c>
      <c r="J14" s="76" t="s">
        <v>131</v>
      </c>
      <c r="K14" s="76" t="s">
        <v>206</v>
      </c>
      <c r="L14" s="76"/>
      <c r="M14" s="76" t="s">
        <v>24</v>
      </c>
      <c r="N14" s="75">
        <v>1</v>
      </c>
      <c r="O14" s="75">
        <v>3177777.78</v>
      </c>
      <c r="P14" s="75">
        <f t="shared" ref="P14:P44" si="0">O14*N14</f>
        <v>3177777.78</v>
      </c>
      <c r="Q14" s="59" t="s">
        <v>25</v>
      </c>
      <c r="R14" s="56" t="s">
        <v>428</v>
      </c>
      <c r="S14" s="56" t="s">
        <v>427</v>
      </c>
      <c r="T14" s="76">
        <v>751910000</v>
      </c>
      <c r="U14" s="76" t="s">
        <v>472</v>
      </c>
      <c r="V14" s="76" t="s">
        <v>471</v>
      </c>
      <c r="W14" s="76">
        <v>0</v>
      </c>
      <c r="X14" s="76"/>
    </row>
    <row r="15" spans="1:24" s="27" customFormat="1" ht="51">
      <c r="A15" s="26">
        <v>2</v>
      </c>
      <c r="B15" s="26" t="s">
        <v>21</v>
      </c>
      <c r="C15" s="76" t="s">
        <v>23</v>
      </c>
      <c r="D15" s="57" t="s">
        <v>84</v>
      </c>
      <c r="E15" s="57" t="s">
        <v>250</v>
      </c>
      <c r="F15" s="57" t="s">
        <v>222</v>
      </c>
      <c r="G15" s="57" t="s">
        <v>250</v>
      </c>
      <c r="H15" s="57" t="s">
        <v>222</v>
      </c>
      <c r="I15" s="76" t="s">
        <v>133</v>
      </c>
      <c r="J15" s="76" t="s">
        <v>221</v>
      </c>
      <c r="K15" s="76" t="s">
        <v>205</v>
      </c>
      <c r="L15" s="76"/>
      <c r="M15" s="76" t="s">
        <v>24</v>
      </c>
      <c r="N15" s="75">
        <v>1</v>
      </c>
      <c r="O15" s="75">
        <v>6016807.54</v>
      </c>
      <c r="P15" s="75">
        <f t="shared" si="0"/>
        <v>6016807.54</v>
      </c>
      <c r="Q15" s="59" t="s">
        <v>25</v>
      </c>
      <c r="R15" s="56" t="s">
        <v>428</v>
      </c>
      <c r="S15" s="56" t="s">
        <v>427</v>
      </c>
      <c r="T15" s="76">
        <v>751910000</v>
      </c>
      <c r="U15" s="76" t="s">
        <v>472</v>
      </c>
      <c r="V15" s="76" t="s">
        <v>471</v>
      </c>
      <c r="W15" s="76">
        <v>0</v>
      </c>
      <c r="X15" s="76"/>
    </row>
    <row r="16" spans="1:24" s="87" customFormat="1" ht="88.5" customHeight="1">
      <c r="A16" s="26">
        <v>3</v>
      </c>
      <c r="B16" s="26" t="s">
        <v>21</v>
      </c>
      <c r="C16" s="76" t="s">
        <v>23</v>
      </c>
      <c r="D16" s="28" t="s">
        <v>86</v>
      </c>
      <c r="E16" s="28" t="s">
        <v>183</v>
      </c>
      <c r="F16" s="28" t="s">
        <v>184</v>
      </c>
      <c r="G16" s="28" t="s">
        <v>183</v>
      </c>
      <c r="H16" s="28" t="s">
        <v>184</v>
      </c>
      <c r="I16" s="76" t="s">
        <v>729</v>
      </c>
      <c r="J16" s="76" t="s">
        <v>728</v>
      </c>
      <c r="K16" s="76" t="s">
        <v>26</v>
      </c>
      <c r="L16" s="76" t="s">
        <v>405</v>
      </c>
      <c r="M16" s="76" t="s">
        <v>24</v>
      </c>
      <c r="N16" s="75">
        <v>1</v>
      </c>
      <c r="O16" s="75">
        <v>3855032.9999999995</v>
      </c>
      <c r="P16" s="75">
        <f t="shared" si="0"/>
        <v>3855032.9999999995</v>
      </c>
      <c r="Q16" s="59" t="s">
        <v>25</v>
      </c>
      <c r="R16" s="56" t="s">
        <v>428</v>
      </c>
      <c r="S16" s="56" t="s">
        <v>427</v>
      </c>
      <c r="T16" s="76" t="s">
        <v>22</v>
      </c>
      <c r="U16" s="76" t="s">
        <v>482</v>
      </c>
      <c r="V16" s="76" t="s">
        <v>483</v>
      </c>
      <c r="W16" s="76">
        <v>0</v>
      </c>
      <c r="X16" s="76"/>
    </row>
    <row r="17" spans="1:24" s="87" customFormat="1" ht="66" customHeight="1">
      <c r="A17" s="26">
        <v>4</v>
      </c>
      <c r="B17" s="26" t="s">
        <v>21</v>
      </c>
      <c r="C17" s="76" t="s">
        <v>23</v>
      </c>
      <c r="D17" s="57" t="s">
        <v>68</v>
      </c>
      <c r="E17" s="57" t="s">
        <v>138</v>
      </c>
      <c r="F17" s="57" t="s">
        <v>139</v>
      </c>
      <c r="G17" s="57" t="s">
        <v>138</v>
      </c>
      <c r="H17" s="57" t="s">
        <v>139</v>
      </c>
      <c r="I17" s="57" t="s">
        <v>138</v>
      </c>
      <c r="J17" s="57" t="s">
        <v>139</v>
      </c>
      <c r="K17" s="76" t="s">
        <v>26</v>
      </c>
      <c r="L17" s="76" t="s">
        <v>750</v>
      </c>
      <c r="M17" s="76" t="s">
        <v>24</v>
      </c>
      <c r="N17" s="75">
        <v>1</v>
      </c>
      <c r="O17" s="75">
        <v>282750</v>
      </c>
      <c r="P17" s="75">
        <f t="shared" si="0"/>
        <v>282750</v>
      </c>
      <c r="Q17" s="75" t="s">
        <v>25</v>
      </c>
      <c r="R17" s="76" t="s">
        <v>478</v>
      </c>
      <c r="S17" s="76" t="s">
        <v>479</v>
      </c>
      <c r="T17" s="59" t="s">
        <v>251</v>
      </c>
      <c r="U17" s="76" t="s">
        <v>51</v>
      </c>
      <c r="V17" s="76" t="s">
        <v>59</v>
      </c>
      <c r="W17" s="76">
        <v>0</v>
      </c>
      <c r="X17" s="76"/>
    </row>
    <row r="18" spans="1:24" s="87" customFormat="1" ht="55.5" customHeight="1">
      <c r="A18" s="26">
        <v>5</v>
      </c>
      <c r="B18" s="26" t="s">
        <v>21</v>
      </c>
      <c r="C18" s="76" t="s">
        <v>23</v>
      </c>
      <c r="D18" s="57" t="s">
        <v>68</v>
      </c>
      <c r="E18" s="57" t="s">
        <v>138</v>
      </c>
      <c r="F18" s="57" t="s">
        <v>139</v>
      </c>
      <c r="G18" s="57" t="s">
        <v>138</v>
      </c>
      <c r="H18" s="57" t="s">
        <v>139</v>
      </c>
      <c r="I18" s="57" t="s">
        <v>138</v>
      </c>
      <c r="J18" s="57" t="s">
        <v>139</v>
      </c>
      <c r="K18" s="76" t="s">
        <v>205</v>
      </c>
      <c r="L18" s="76"/>
      <c r="M18" s="76" t="s">
        <v>24</v>
      </c>
      <c r="N18" s="75">
        <v>1</v>
      </c>
      <c r="O18" s="75">
        <v>1413750</v>
      </c>
      <c r="P18" s="75">
        <f t="shared" ref="P18" si="1">O18*N18</f>
        <v>1413750</v>
      </c>
      <c r="Q18" s="75" t="s">
        <v>25</v>
      </c>
      <c r="R18" s="76" t="s">
        <v>477</v>
      </c>
      <c r="S18" s="76" t="s">
        <v>476</v>
      </c>
      <c r="T18" s="59" t="s">
        <v>251</v>
      </c>
      <c r="U18" s="76" t="s">
        <v>51</v>
      </c>
      <c r="V18" s="76" t="s">
        <v>59</v>
      </c>
      <c r="W18" s="76">
        <v>0</v>
      </c>
      <c r="X18" s="76"/>
    </row>
    <row r="19" spans="1:24" s="87" customFormat="1" ht="70.5" customHeight="1">
      <c r="A19" s="26">
        <v>6</v>
      </c>
      <c r="B19" s="26" t="s">
        <v>21</v>
      </c>
      <c r="C19" s="76" t="s">
        <v>23</v>
      </c>
      <c r="D19" s="57" t="s">
        <v>68</v>
      </c>
      <c r="E19" s="57" t="s">
        <v>138</v>
      </c>
      <c r="F19" s="57" t="s">
        <v>139</v>
      </c>
      <c r="G19" s="57" t="s">
        <v>138</v>
      </c>
      <c r="H19" s="57" t="s">
        <v>139</v>
      </c>
      <c r="I19" s="57" t="s">
        <v>138</v>
      </c>
      <c r="J19" s="57" t="s">
        <v>139</v>
      </c>
      <c r="K19" s="76" t="s">
        <v>26</v>
      </c>
      <c r="L19" s="76" t="s">
        <v>750</v>
      </c>
      <c r="M19" s="76" t="s">
        <v>24</v>
      </c>
      <c r="N19" s="75">
        <v>1</v>
      </c>
      <c r="O19" s="75">
        <v>487199.99999999994</v>
      </c>
      <c r="P19" s="75">
        <f t="shared" si="0"/>
        <v>487199.99999999994</v>
      </c>
      <c r="Q19" s="75" t="s">
        <v>25</v>
      </c>
      <c r="R19" s="76" t="s">
        <v>478</v>
      </c>
      <c r="S19" s="76" t="s">
        <v>479</v>
      </c>
      <c r="T19" s="59" t="s">
        <v>461</v>
      </c>
      <c r="U19" s="76" t="s">
        <v>64</v>
      </c>
      <c r="V19" s="76" t="s">
        <v>65</v>
      </c>
      <c r="W19" s="76">
        <v>0</v>
      </c>
      <c r="X19" s="76"/>
    </row>
    <row r="20" spans="1:24" s="87" customFormat="1" ht="48" customHeight="1">
      <c r="A20" s="26">
        <v>7</v>
      </c>
      <c r="B20" s="26" t="s">
        <v>21</v>
      </c>
      <c r="C20" s="76" t="s">
        <v>23</v>
      </c>
      <c r="D20" s="57" t="s">
        <v>68</v>
      </c>
      <c r="E20" s="57" t="s">
        <v>138</v>
      </c>
      <c r="F20" s="57" t="s">
        <v>139</v>
      </c>
      <c r="G20" s="57" t="s">
        <v>138</v>
      </c>
      <c r="H20" s="57" t="s">
        <v>139</v>
      </c>
      <c r="I20" s="57" t="s">
        <v>138</v>
      </c>
      <c r="J20" s="57" t="s">
        <v>139</v>
      </c>
      <c r="K20" s="76" t="s">
        <v>205</v>
      </c>
      <c r="L20" s="76"/>
      <c r="M20" s="76" t="s">
        <v>24</v>
      </c>
      <c r="N20" s="75">
        <v>1</v>
      </c>
      <c r="O20" s="75">
        <v>2436000</v>
      </c>
      <c r="P20" s="75">
        <f t="shared" ref="P20" si="2">O20*N20</f>
        <v>2436000</v>
      </c>
      <c r="Q20" s="75" t="s">
        <v>25</v>
      </c>
      <c r="R20" s="76" t="s">
        <v>477</v>
      </c>
      <c r="S20" s="76" t="s">
        <v>476</v>
      </c>
      <c r="T20" s="59" t="s">
        <v>252</v>
      </c>
      <c r="U20" s="76" t="s">
        <v>64</v>
      </c>
      <c r="V20" s="76" t="s">
        <v>65</v>
      </c>
      <c r="W20" s="76">
        <v>0</v>
      </c>
      <c r="X20" s="76"/>
    </row>
    <row r="21" spans="1:24" s="87" customFormat="1" ht="73.5" customHeight="1">
      <c r="A21" s="26">
        <v>8</v>
      </c>
      <c r="B21" s="104" t="s">
        <v>21</v>
      </c>
      <c r="C21" s="76" t="s">
        <v>23</v>
      </c>
      <c r="D21" s="57" t="s">
        <v>68</v>
      </c>
      <c r="E21" s="57" t="s">
        <v>138</v>
      </c>
      <c r="F21" s="57" t="s">
        <v>139</v>
      </c>
      <c r="G21" s="57" t="s">
        <v>138</v>
      </c>
      <c r="H21" s="57" t="s">
        <v>139</v>
      </c>
      <c r="I21" s="57" t="s">
        <v>138</v>
      </c>
      <c r="J21" s="57" t="s">
        <v>139</v>
      </c>
      <c r="K21" s="76" t="s">
        <v>26</v>
      </c>
      <c r="L21" s="76" t="s">
        <v>750</v>
      </c>
      <c r="M21" s="76" t="s">
        <v>24</v>
      </c>
      <c r="N21" s="75">
        <v>1</v>
      </c>
      <c r="O21" s="75">
        <v>336607.14</v>
      </c>
      <c r="P21" s="75">
        <f t="shared" si="0"/>
        <v>336607.14</v>
      </c>
      <c r="Q21" s="75" t="s">
        <v>25</v>
      </c>
      <c r="R21" s="76" t="s">
        <v>478</v>
      </c>
      <c r="S21" s="76" t="s">
        <v>479</v>
      </c>
      <c r="T21" s="59" t="s">
        <v>450</v>
      </c>
      <c r="U21" s="76" t="s">
        <v>444</v>
      </c>
      <c r="V21" s="76" t="s">
        <v>443</v>
      </c>
      <c r="W21" s="76">
        <v>0</v>
      </c>
      <c r="X21" s="76"/>
    </row>
    <row r="22" spans="1:24" s="87" customFormat="1" ht="54" customHeight="1">
      <c r="A22" s="26">
        <v>9</v>
      </c>
      <c r="B22" s="104" t="s">
        <v>21</v>
      </c>
      <c r="C22" s="76" t="s">
        <v>23</v>
      </c>
      <c r="D22" s="57" t="s">
        <v>68</v>
      </c>
      <c r="E22" s="57" t="s">
        <v>138</v>
      </c>
      <c r="F22" s="57" t="s">
        <v>139</v>
      </c>
      <c r="G22" s="57" t="s">
        <v>138</v>
      </c>
      <c r="H22" s="57" t="s">
        <v>139</v>
      </c>
      <c r="I22" s="57" t="s">
        <v>138</v>
      </c>
      <c r="J22" s="57" t="s">
        <v>139</v>
      </c>
      <c r="K22" s="76" t="s">
        <v>205</v>
      </c>
      <c r="L22" s="76"/>
      <c r="M22" s="76" t="s">
        <v>24</v>
      </c>
      <c r="N22" s="75">
        <v>1</v>
      </c>
      <c r="O22" s="75">
        <v>1683035.71</v>
      </c>
      <c r="P22" s="75">
        <f t="shared" ref="P22" si="3">O22*N22</f>
        <v>1683035.71</v>
      </c>
      <c r="Q22" s="75" t="s">
        <v>25</v>
      </c>
      <c r="R22" s="76" t="s">
        <v>477</v>
      </c>
      <c r="S22" s="76" t="s">
        <v>476</v>
      </c>
      <c r="T22" s="59" t="s">
        <v>450</v>
      </c>
      <c r="U22" s="76" t="s">
        <v>444</v>
      </c>
      <c r="V22" s="76" t="s">
        <v>443</v>
      </c>
      <c r="W22" s="76">
        <v>0</v>
      </c>
      <c r="X22" s="76"/>
    </row>
    <row r="23" spans="1:24" s="87" customFormat="1" ht="55.5" customHeight="1">
      <c r="A23" s="26">
        <v>10</v>
      </c>
      <c r="B23" s="104" t="s">
        <v>21</v>
      </c>
      <c r="C23" s="76" t="s">
        <v>23</v>
      </c>
      <c r="D23" s="57" t="s">
        <v>68</v>
      </c>
      <c r="E23" s="57" t="s">
        <v>138</v>
      </c>
      <c r="F23" s="57" t="s">
        <v>139</v>
      </c>
      <c r="G23" s="57" t="s">
        <v>138</v>
      </c>
      <c r="H23" s="57" t="s">
        <v>139</v>
      </c>
      <c r="I23" s="57" t="s">
        <v>138</v>
      </c>
      <c r="J23" s="57" t="s">
        <v>139</v>
      </c>
      <c r="K23" s="76" t="s">
        <v>205</v>
      </c>
      <c r="L23" s="76"/>
      <c r="M23" s="76" t="s">
        <v>24</v>
      </c>
      <c r="N23" s="75">
        <v>1</v>
      </c>
      <c r="O23" s="75">
        <v>99554.46</v>
      </c>
      <c r="P23" s="75">
        <f t="shared" ref="P23" si="4">O23*N23</f>
        <v>99554.46</v>
      </c>
      <c r="Q23" s="59" t="s">
        <v>762</v>
      </c>
      <c r="R23" s="76" t="s">
        <v>764</v>
      </c>
      <c r="S23" s="76" t="s">
        <v>763</v>
      </c>
      <c r="T23" s="59" t="s">
        <v>253</v>
      </c>
      <c r="U23" s="76" t="s">
        <v>446</v>
      </c>
      <c r="V23" s="76" t="s">
        <v>445</v>
      </c>
      <c r="W23" s="76">
        <v>0</v>
      </c>
      <c r="X23" s="76"/>
    </row>
    <row r="24" spans="1:24" s="87" customFormat="1" ht="71.25" customHeight="1">
      <c r="A24" s="26">
        <v>11</v>
      </c>
      <c r="B24" s="104" t="s">
        <v>21</v>
      </c>
      <c r="C24" s="76" t="s">
        <v>23</v>
      </c>
      <c r="D24" s="57" t="s">
        <v>68</v>
      </c>
      <c r="E24" s="57" t="s">
        <v>138</v>
      </c>
      <c r="F24" s="57" t="s">
        <v>139</v>
      </c>
      <c r="G24" s="57" t="s">
        <v>138</v>
      </c>
      <c r="H24" s="57" t="s">
        <v>139</v>
      </c>
      <c r="I24" s="57" t="s">
        <v>138</v>
      </c>
      <c r="J24" s="57" t="s">
        <v>139</v>
      </c>
      <c r="K24" s="76" t="s">
        <v>26</v>
      </c>
      <c r="L24" s="76" t="s">
        <v>750</v>
      </c>
      <c r="M24" s="76" t="s">
        <v>24</v>
      </c>
      <c r="N24" s="75">
        <v>1</v>
      </c>
      <c r="O24" s="75">
        <v>471250</v>
      </c>
      <c r="P24" s="75">
        <f t="shared" si="0"/>
        <v>471250</v>
      </c>
      <c r="Q24" s="75" t="s">
        <v>25</v>
      </c>
      <c r="R24" s="76" t="s">
        <v>478</v>
      </c>
      <c r="S24" s="76" t="s">
        <v>479</v>
      </c>
      <c r="T24" s="59" t="s">
        <v>254</v>
      </c>
      <c r="U24" s="76" t="s">
        <v>40</v>
      </c>
      <c r="V24" s="76" t="s">
        <v>44</v>
      </c>
      <c r="W24" s="76">
        <v>0</v>
      </c>
      <c r="X24" s="76"/>
    </row>
    <row r="25" spans="1:24" s="87" customFormat="1" ht="52.5" customHeight="1">
      <c r="A25" s="26">
        <v>12</v>
      </c>
      <c r="B25" s="104" t="s">
        <v>21</v>
      </c>
      <c r="C25" s="76" t="s">
        <v>23</v>
      </c>
      <c r="D25" s="57" t="s">
        <v>68</v>
      </c>
      <c r="E25" s="57" t="s">
        <v>138</v>
      </c>
      <c r="F25" s="57" t="s">
        <v>139</v>
      </c>
      <c r="G25" s="57" t="s">
        <v>138</v>
      </c>
      <c r="H25" s="57" t="s">
        <v>139</v>
      </c>
      <c r="I25" s="57" t="s">
        <v>138</v>
      </c>
      <c r="J25" s="57" t="s">
        <v>139</v>
      </c>
      <c r="K25" s="76" t="s">
        <v>205</v>
      </c>
      <c r="L25" s="76"/>
      <c r="M25" s="76" t="s">
        <v>24</v>
      </c>
      <c r="N25" s="75">
        <v>1</v>
      </c>
      <c r="O25" s="75">
        <v>2356250</v>
      </c>
      <c r="P25" s="75">
        <f t="shared" ref="P25" si="5">O25*N25</f>
        <v>2356250</v>
      </c>
      <c r="Q25" s="75" t="s">
        <v>25</v>
      </c>
      <c r="R25" s="76" t="s">
        <v>477</v>
      </c>
      <c r="S25" s="76" t="s">
        <v>476</v>
      </c>
      <c r="T25" s="59" t="s">
        <v>254</v>
      </c>
      <c r="U25" s="76" t="s">
        <v>40</v>
      </c>
      <c r="V25" s="76" t="s">
        <v>44</v>
      </c>
      <c r="W25" s="76">
        <v>0</v>
      </c>
      <c r="X25" s="76"/>
    </row>
    <row r="26" spans="1:24" s="27" customFormat="1" ht="51">
      <c r="A26" s="26">
        <v>13</v>
      </c>
      <c r="B26" s="104" t="s">
        <v>21</v>
      </c>
      <c r="C26" s="76" t="s">
        <v>23</v>
      </c>
      <c r="D26" s="57" t="s">
        <v>68</v>
      </c>
      <c r="E26" s="57" t="s">
        <v>138</v>
      </c>
      <c r="F26" s="57" t="s">
        <v>139</v>
      </c>
      <c r="G26" s="57" t="s">
        <v>138</v>
      </c>
      <c r="H26" s="57" t="s">
        <v>139</v>
      </c>
      <c r="I26" s="57" t="s">
        <v>138</v>
      </c>
      <c r="J26" s="57" t="s">
        <v>139</v>
      </c>
      <c r="K26" s="76" t="s">
        <v>205</v>
      </c>
      <c r="L26" s="76"/>
      <c r="M26" s="76" t="s">
        <v>24</v>
      </c>
      <c r="N26" s="75">
        <v>1</v>
      </c>
      <c r="O26" s="75">
        <v>678600</v>
      </c>
      <c r="P26" s="75">
        <f t="shared" ref="P26" si="6">O26*N26</f>
        <v>678600</v>
      </c>
      <c r="Q26" s="59" t="s">
        <v>97</v>
      </c>
      <c r="R26" s="76" t="s">
        <v>765</v>
      </c>
      <c r="S26" s="76" t="s">
        <v>763</v>
      </c>
      <c r="T26" s="59" t="s">
        <v>449</v>
      </c>
      <c r="U26" s="76" t="s">
        <v>447</v>
      </c>
      <c r="V26" s="76" t="s">
        <v>448</v>
      </c>
      <c r="W26" s="76">
        <v>0</v>
      </c>
      <c r="X26" s="76"/>
    </row>
    <row r="27" spans="1:24" s="27" customFormat="1" ht="53.25" customHeight="1">
      <c r="A27" s="82">
        <v>14</v>
      </c>
      <c r="B27" s="104" t="s">
        <v>21</v>
      </c>
      <c r="C27" s="76" t="s">
        <v>23</v>
      </c>
      <c r="D27" s="57" t="s">
        <v>68</v>
      </c>
      <c r="E27" s="57" t="s">
        <v>138</v>
      </c>
      <c r="F27" s="57" t="s">
        <v>139</v>
      </c>
      <c r="G27" s="57" t="s">
        <v>138</v>
      </c>
      <c r="H27" s="57" t="s">
        <v>139</v>
      </c>
      <c r="I27" s="57" t="s">
        <v>138</v>
      </c>
      <c r="J27" s="57" t="s">
        <v>139</v>
      </c>
      <c r="K27" s="76" t="s">
        <v>205</v>
      </c>
      <c r="L27" s="76"/>
      <c r="M27" s="76" t="s">
        <v>24</v>
      </c>
      <c r="N27" s="75">
        <v>1</v>
      </c>
      <c r="O27" s="75">
        <v>39687.499999999993</v>
      </c>
      <c r="P27" s="75">
        <f t="shared" ref="P27" si="7">O27*N27</f>
        <v>39687.499999999993</v>
      </c>
      <c r="Q27" s="59" t="s">
        <v>762</v>
      </c>
      <c r="R27" s="76" t="s">
        <v>764</v>
      </c>
      <c r="S27" s="76" t="s">
        <v>763</v>
      </c>
      <c r="T27" s="59" t="s">
        <v>451</v>
      </c>
      <c r="U27" s="76" t="s">
        <v>452</v>
      </c>
      <c r="V27" s="76" t="s">
        <v>453</v>
      </c>
      <c r="W27" s="76">
        <v>0</v>
      </c>
      <c r="X27" s="76"/>
    </row>
    <row r="28" spans="1:24" s="87" customFormat="1" ht="51" customHeight="1">
      <c r="A28" s="26">
        <v>16</v>
      </c>
      <c r="B28" s="104" t="s">
        <v>21</v>
      </c>
      <c r="C28" s="76" t="s">
        <v>23</v>
      </c>
      <c r="D28" s="57" t="s">
        <v>68</v>
      </c>
      <c r="E28" s="57" t="s">
        <v>138</v>
      </c>
      <c r="F28" s="57" t="s">
        <v>139</v>
      </c>
      <c r="G28" s="57" t="s">
        <v>138</v>
      </c>
      <c r="H28" s="57" t="s">
        <v>139</v>
      </c>
      <c r="I28" s="57" t="s">
        <v>138</v>
      </c>
      <c r="J28" s="57" t="s">
        <v>139</v>
      </c>
      <c r="K28" s="76" t="s">
        <v>205</v>
      </c>
      <c r="L28" s="76"/>
      <c r="M28" s="76" t="s">
        <v>24</v>
      </c>
      <c r="N28" s="75">
        <v>1</v>
      </c>
      <c r="O28" s="75">
        <v>217483.93</v>
      </c>
      <c r="P28" s="75">
        <f t="shared" si="0"/>
        <v>217483.93</v>
      </c>
      <c r="Q28" s="75" t="s">
        <v>25</v>
      </c>
      <c r="R28" s="76" t="s">
        <v>442</v>
      </c>
      <c r="S28" s="76" t="s">
        <v>441</v>
      </c>
      <c r="T28" s="59" t="s">
        <v>255</v>
      </c>
      <c r="U28" s="76" t="s">
        <v>53</v>
      </c>
      <c r="V28" s="76" t="s">
        <v>57</v>
      </c>
      <c r="W28" s="76">
        <v>0</v>
      </c>
      <c r="X28" s="62"/>
    </row>
    <row r="29" spans="1:24" s="87" customFormat="1" ht="63.75">
      <c r="A29" s="26">
        <v>17</v>
      </c>
      <c r="B29" s="104" t="s">
        <v>21</v>
      </c>
      <c r="C29" s="76" t="s">
        <v>23</v>
      </c>
      <c r="D29" s="57" t="s">
        <v>68</v>
      </c>
      <c r="E29" s="57" t="s">
        <v>138</v>
      </c>
      <c r="F29" s="57" t="s">
        <v>139</v>
      </c>
      <c r="G29" s="57" t="s">
        <v>138</v>
      </c>
      <c r="H29" s="57" t="s">
        <v>139</v>
      </c>
      <c r="I29" s="57" t="s">
        <v>138</v>
      </c>
      <c r="J29" s="57" t="s">
        <v>139</v>
      </c>
      <c r="K29" s="76" t="s">
        <v>26</v>
      </c>
      <c r="L29" s="76" t="s">
        <v>750</v>
      </c>
      <c r="M29" s="76" t="s">
        <v>24</v>
      </c>
      <c r="N29" s="75">
        <v>1</v>
      </c>
      <c r="O29" s="75">
        <v>367575</v>
      </c>
      <c r="P29" s="75">
        <f t="shared" si="0"/>
        <v>367575</v>
      </c>
      <c r="Q29" s="75" t="s">
        <v>25</v>
      </c>
      <c r="R29" s="76" t="s">
        <v>478</v>
      </c>
      <c r="S29" s="76" t="s">
        <v>479</v>
      </c>
      <c r="T29" s="59" t="s">
        <v>256</v>
      </c>
      <c r="U29" s="76" t="s">
        <v>41</v>
      </c>
      <c r="V29" s="76" t="s">
        <v>45</v>
      </c>
      <c r="W29" s="76">
        <v>0</v>
      </c>
      <c r="X29" s="62"/>
    </row>
    <row r="30" spans="1:24" s="87" customFormat="1" ht="51">
      <c r="A30" s="26">
        <v>18</v>
      </c>
      <c r="B30" s="104" t="s">
        <v>21</v>
      </c>
      <c r="C30" s="76" t="s">
        <v>23</v>
      </c>
      <c r="D30" s="57" t="s">
        <v>68</v>
      </c>
      <c r="E30" s="57" t="s">
        <v>138</v>
      </c>
      <c r="F30" s="57" t="s">
        <v>139</v>
      </c>
      <c r="G30" s="57" t="s">
        <v>138</v>
      </c>
      <c r="H30" s="57" t="s">
        <v>139</v>
      </c>
      <c r="I30" s="57" t="s">
        <v>138</v>
      </c>
      <c r="J30" s="57" t="s">
        <v>139</v>
      </c>
      <c r="K30" s="76" t="s">
        <v>205</v>
      </c>
      <c r="L30" s="76"/>
      <c r="M30" s="76" t="s">
        <v>24</v>
      </c>
      <c r="N30" s="75">
        <v>1</v>
      </c>
      <c r="O30" s="75">
        <v>1837875</v>
      </c>
      <c r="P30" s="75">
        <f t="shared" ref="P30" si="8">O30*N30</f>
        <v>1837875</v>
      </c>
      <c r="Q30" s="75" t="s">
        <v>25</v>
      </c>
      <c r="R30" s="76" t="s">
        <v>477</v>
      </c>
      <c r="S30" s="76" t="s">
        <v>476</v>
      </c>
      <c r="T30" s="59" t="s">
        <v>256</v>
      </c>
      <c r="U30" s="76" t="s">
        <v>41</v>
      </c>
      <c r="V30" s="76" t="s">
        <v>45</v>
      </c>
      <c r="W30" s="76">
        <v>0</v>
      </c>
      <c r="X30" s="62"/>
    </row>
    <row r="31" spans="1:24" s="87" customFormat="1" ht="63.75">
      <c r="A31" s="26">
        <v>19</v>
      </c>
      <c r="B31" s="104" t="s">
        <v>21</v>
      </c>
      <c r="C31" s="76" t="s">
        <v>23</v>
      </c>
      <c r="D31" s="57" t="s">
        <v>68</v>
      </c>
      <c r="E31" s="57" t="s">
        <v>138</v>
      </c>
      <c r="F31" s="57" t="s">
        <v>139</v>
      </c>
      <c r="G31" s="57" t="s">
        <v>138</v>
      </c>
      <c r="H31" s="57" t="s">
        <v>139</v>
      </c>
      <c r="I31" s="57" t="s">
        <v>138</v>
      </c>
      <c r="J31" s="57" t="s">
        <v>139</v>
      </c>
      <c r="K31" s="76" t="s">
        <v>26</v>
      </c>
      <c r="L31" s="76" t="s">
        <v>750</v>
      </c>
      <c r="M31" s="76" t="s">
        <v>24</v>
      </c>
      <c r="N31" s="75">
        <v>1</v>
      </c>
      <c r="O31" s="75">
        <v>232000</v>
      </c>
      <c r="P31" s="75">
        <f t="shared" si="0"/>
        <v>232000</v>
      </c>
      <c r="Q31" s="75" t="s">
        <v>25</v>
      </c>
      <c r="R31" s="76" t="s">
        <v>478</v>
      </c>
      <c r="S31" s="76" t="s">
        <v>479</v>
      </c>
      <c r="T31" s="59" t="s">
        <v>454</v>
      </c>
      <c r="U31" s="76" t="s">
        <v>42</v>
      </c>
      <c r="V31" s="76" t="s">
        <v>46</v>
      </c>
      <c r="W31" s="76">
        <v>0</v>
      </c>
      <c r="X31" s="62"/>
    </row>
    <row r="32" spans="1:24" s="87" customFormat="1" ht="51">
      <c r="A32" s="26">
        <v>20</v>
      </c>
      <c r="B32" s="104" t="s">
        <v>21</v>
      </c>
      <c r="C32" s="76" t="s">
        <v>23</v>
      </c>
      <c r="D32" s="57" t="s">
        <v>68</v>
      </c>
      <c r="E32" s="57" t="s">
        <v>138</v>
      </c>
      <c r="F32" s="57" t="s">
        <v>139</v>
      </c>
      <c r="G32" s="57" t="s">
        <v>138</v>
      </c>
      <c r="H32" s="57" t="s">
        <v>139</v>
      </c>
      <c r="I32" s="57" t="s">
        <v>138</v>
      </c>
      <c r="J32" s="57" t="s">
        <v>139</v>
      </c>
      <c r="K32" s="76" t="s">
        <v>205</v>
      </c>
      <c r="L32" s="76"/>
      <c r="M32" s="76" t="s">
        <v>24</v>
      </c>
      <c r="N32" s="75">
        <v>1</v>
      </c>
      <c r="O32" s="75">
        <v>1160000</v>
      </c>
      <c r="P32" s="75">
        <f t="shared" ref="P32:P33" si="9">O32*N32</f>
        <v>1160000</v>
      </c>
      <c r="Q32" s="75" t="s">
        <v>25</v>
      </c>
      <c r="R32" s="76" t="s">
        <v>477</v>
      </c>
      <c r="S32" s="76" t="s">
        <v>476</v>
      </c>
      <c r="T32" s="59" t="s">
        <v>454</v>
      </c>
      <c r="U32" s="76" t="s">
        <v>42</v>
      </c>
      <c r="V32" s="76" t="s">
        <v>46</v>
      </c>
      <c r="W32" s="76">
        <v>0</v>
      </c>
      <c r="X32" s="62"/>
    </row>
    <row r="33" spans="1:24" s="87" customFormat="1" ht="52.5" customHeight="1">
      <c r="A33" s="82">
        <v>21</v>
      </c>
      <c r="B33" s="104" t="s">
        <v>21</v>
      </c>
      <c r="C33" s="76" t="s">
        <v>23</v>
      </c>
      <c r="D33" s="57" t="s">
        <v>68</v>
      </c>
      <c r="E33" s="57" t="s">
        <v>138</v>
      </c>
      <c r="F33" s="57" t="s">
        <v>139</v>
      </c>
      <c r="G33" s="57" t="s">
        <v>138</v>
      </c>
      <c r="H33" s="57" t="s">
        <v>139</v>
      </c>
      <c r="I33" s="57" t="s">
        <v>138</v>
      </c>
      <c r="J33" s="57" t="s">
        <v>139</v>
      </c>
      <c r="K33" s="76" t="s">
        <v>205</v>
      </c>
      <c r="L33" s="76"/>
      <c r="M33" s="76" t="s">
        <v>24</v>
      </c>
      <c r="N33" s="75">
        <v>1</v>
      </c>
      <c r="O33" s="75">
        <v>989625</v>
      </c>
      <c r="P33" s="75">
        <f t="shared" si="9"/>
        <v>989625</v>
      </c>
      <c r="Q33" s="59" t="s">
        <v>762</v>
      </c>
      <c r="R33" s="76" t="s">
        <v>764</v>
      </c>
      <c r="S33" s="76" t="s">
        <v>763</v>
      </c>
      <c r="T33" s="59" t="s">
        <v>455</v>
      </c>
      <c r="U33" s="76" t="s">
        <v>457</v>
      </c>
      <c r="V33" s="76" t="s">
        <v>456</v>
      </c>
      <c r="W33" s="76">
        <v>0</v>
      </c>
      <c r="X33" s="85"/>
    </row>
    <row r="34" spans="1:24" s="87" customFormat="1" ht="63.75">
      <c r="A34" s="26">
        <v>22</v>
      </c>
      <c r="B34" s="104" t="s">
        <v>21</v>
      </c>
      <c r="C34" s="76" t="s">
        <v>23</v>
      </c>
      <c r="D34" s="57" t="s">
        <v>68</v>
      </c>
      <c r="E34" s="57" t="s">
        <v>138</v>
      </c>
      <c r="F34" s="57" t="s">
        <v>139</v>
      </c>
      <c r="G34" s="57" t="s">
        <v>138</v>
      </c>
      <c r="H34" s="57" t="s">
        <v>139</v>
      </c>
      <c r="I34" s="57" t="s">
        <v>138</v>
      </c>
      <c r="J34" s="57" t="s">
        <v>139</v>
      </c>
      <c r="K34" s="76" t="s">
        <v>26</v>
      </c>
      <c r="L34" s="76" t="s">
        <v>750</v>
      </c>
      <c r="M34" s="76" t="s">
        <v>24</v>
      </c>
      <c r="N34" s="75">
        <v>1</v>
      </c>
      <c r="O34" s="75">
        <v>188500</v>
      </c>
      <c r="P34" s="75">
        <f t="shared" si="0"/>
        <v>188500</v>
      </c>
      <c r="Q34" s="75" t="s">
        <v>25</v>
      </c>
      <c r="R34" s="76" t="s">
        <v>478</v>
      </c>
      <c r="S34" s="76" t="s">
        <v>479</v>
      </c>
      <c r="T34" s="59" t="s">
        <v>257</v>
      </c>
      <c r="U34" s="76" t="s">
        <v>43</v>
      </c>
      <c r="V34" s="76" t="s">
        <v>47</v>
      </c>
      <c r="W34" s="76">
        <v>0</v>
      </c>
      <c r="X34" s="62"/>
    </row>
    <row r="35" spans="1:24" s="87" customFormat="1" ht="51">
      <c r="A35" s="26">
        <v>23</v>
      </c>
      <c r="B35" s="104" t="s">
        <v>21</v>
      </c>
      <c r="C35" s="76" t="s">
        <v>23</v>
      </c>
      <c r="D35" s="57" t="s">
        <v>68</v>
      </c>
      <c r="E35" s="57" t="s">
        <v>138</v>
      </c>
      <c r="F35" s="57" t="s">
        <v>139</v>
      </c>
      <c r="G35" s="57" t="s">
        <v>138</v>
      </c>
      <c r="H35" s="57" t="s">
        <v>139</v>
      </c>
      <c r="I35" s="57" t="s">
        <v>138</v>
      </c>
      <c r="J35" s="57" t="s">
        <v>139</v>
      </c>
      <c r="K35" s="76" t="s">
        <v>205</v>
      </c>
      <c r="L35" s="76"/>
      <c r="M35" s="76" t="s">
        <v>24</v>
      </c>
      <c r="N35" s="75">
        <v>1</v>
      </c>
      <c r="O35" s="75">
        <v>942500</v>
      </c>
      <c r="P35" s="75">
        <f t="shared" ref="P35" si="10">O35*N35</f>
        <v>942500</v>
      </c>
      <c r="Q35" s="75" t="s">
        <v>25</v>
      </c>
      <c r="R35" s="76" t="s">
        <v>477</v>
      </c>
      <c r="S35" s="76" t="s">
        <v>476</v>
      </c>
      <c r="T35" s="59" t="s">
        <v>257</v>
      </c>
      <c r="U35" s="76" t="s">
        <v>43</v>
      </c>
      <c r="V35" s="76" t="s">
        <v>47</v>
      </c>
      <c r="W35" s="76">
        <v>0</v>
      </c>
      <c r="X35" s="62"/>
    </row>
    <row r="36" spans="1:24" s="87" customFormat="1" ht="48.75" customHeight="1">
      <c r="A36" s="26">
        <v>24</v>
      </c>
      <c r="B36" s="104" t="s">
        <v>21</v>
      </c>
      <c r="C36" s="76" t="s">
        <v>23</v>
      </c>
      <c r="D36" s="57" t="s">
        <v>68</v>
      </c>
      <c r="E36" s="57" t="s">
        <v>138</v>
      </c>
      <c r="F36" s="57" t="s">
        <v>139</v>
      </c>
      <c r="G36" s="57" t="s">
        <v>138</v>
      </c>
      <c r="H36" s="57" t="s">
        <v>139</v>
      </c>
      <c r="I36" s="57" t="s">
        <v>138</v>
      </c>
      <c r="J36" s="57" t="s">
        <v>139</v>
      </c>
      <c r="K36" s="76" t="s">
        <v>205</v>
      </c>
      <c r="L36" s="76"/>
      <c r="M36" s="76" t="s">
        <v>24</v>
      </c>
      <c r="N36" s="75">
        <v>1</v>
      </c>
      <c r="O36" s="75">
        <v>199607.14</v>
      </c>
      <c r="P36" s="75">
        <f t="shared" si="0"/>
        <v>199607.14</v>
      </c>
      <c r="Q36" s="75" t="s">
        <v>25</v>
      </c>
      <c r="R36" s="76" t="s">
        <v>442</v>
      </c>
      <c r="S36" s="76" t="s">
        <v>441</v>
      </c>
      <c r="T36" s="59" t="s">
        <v>374</v>
      </c>
      <c r="U36" s="76" t="s">
        <v>52</v>
      </c>
      <c r="V36" s="76" t="s">
        <v>58</v>
      </c>
      <c r="W36" s="76">
        <v>0</v>
      </c>
      <c r="X36" s="62"/>
    </row>
    <row r="37" spans="1:24" s="87" customFormat="1" ht="63" customHeight="1">
      <c r="A37" s="26">
        <v>25</v>
      </c>
      <c r="B37" s="104" t="s">
        <v>21</v>
      </c>
      <c r="C37" s="76" t="s">
        <v>23</v>
      </c>
      <c r="D37" s="57" t="s">
        <v>68</v>
      </c>
      <c r="E37" s="57" t="s">
        <v>138</v>
      </c>
      <c r="F37" s="57" t="s">
        <v>139</v>
      </c>
      <c r="G37" s="57" t="s">
        <v>138</v>
      </c>
      <c r="H37" s="57" t="s">
        <v>139</v>
      </c>
      <c r="I37" s="57" t="s">
        <v>138</v>
      </c>
      <c r="J37" s="57" t="s">
        <v>139</v>
      </c>
      <c r="K37" s="76" t="s">
        <v>205</v>
      </c>
      <c r="L37" s="76"/>
      <c r="M37" s="76" t="s">
        <v>24</v>
      </c>
      <c r="N37" s="75">
        <v>1</v>
      </c>
      <c r="O37" s="75">
        <v>159782.14000000001</v>
      </c>
      <c r="P37" s="75">
        <f t="shared" si="0"/>
        <v>159782.14000000001</v>
      </c>
      <c r="Q37" s="75" t="s">
        <v>25</v>
      </c>
      <c r="R37" s="76" t="s">
        <v>442</v>
      </c>
      <c r="S37" s="76" t="s">
        <v>441</v>
      </c>
      <c r="T37" s="59" t="s">
        <v>258</v>
      </c>
      <c r="U37" s="76" t="s">
        <v>50</v>
      </c>
      <c r="V37" s="76" t="s">
        <v>55</v>
      </c>
      <c r="W37" s="76">
        <v>0</v>
      </c>
      <c r="X37" s="62"/>
    </row>
    <row r="38" spans="1:24" s="87" customFormat="1" ht="63.75">
      <c r="A38" s="26">
        <v>27</v>
      </c>
      <c r="B38" s="107" t="s">
        <v>21</v>
      </c>
      <c r="C38" s="76" t="s">
        <v>23</v>
      </c>
      <c r="D38" s="57" t="s">
        <v>68</v>
      </c>
      <c r="E38" s="57" t="s">
        <v>138</v>
      </c>
      <c r="F38" s="57" t="s">
        <v>139</v>
      </c>
      <c r="G38" s="57" t="s">
        <v>138</v>
      </c>
      <c r="H38" s="57" t="s">
        <v>139</v>
      </c>
      <c r="I38" s="57" t="s">
        <v>138</v>
      </c>
      <c r="J38" s="57" t="s">
        <v>139</v>
      </c>
      <c r="K38" s="76" t="s">
        <v>205</v>
      </c>
      <c r="L38" s="76"/>
      <c r="M38" s="76" t="s">
        <v>24</v>
      </c>
      <c r="N38" s="75">
        <v>1</v>
      </c>
      <c r="O38" s="75">
        <v>129492.86</v>
      </c>
      <c r="P38" s="75">
        <f t="shared" si="0"/>
        <v>129492.86</v>
      </c>
      <c r="Q38" s="75" t="s">
        <v>25</v>
      </c>
      <c r="R38" s="76" t="s">
        <v>442</v>
      </c>
      <c r="S38" s="76" t="s">
        <v>441</v>
      </c>
      <c r="T38" s="59" t="s">
        <v>259</v>
      </c>
      <c r="U38" s="76" t="s">
        <v>54</v>
      </c>
      <c r="V38" s="76" t="s">
        <v>56</v>
      </c>
      <c r="W38" s="76">
        <v>0</v>
      </c>
      <c r="X38" s="62"/>
    </row>
    <row r="39" spans="1:24" s="88" customFormat="1" ht="52.5" customHeight="1">
      <c r="A39" s="26">
        <v>29</v>
      </c>
      <c r="B39" s="26" t="s">
        <v>21</v>
      </c>
      <c r="C39" s="76" t="s">
        <v>23</v>
      </c>
      <c r="D39" s="57" t="s">
        <v>68</v>
      </c>
      <c r="E39" s="57" t="s">
        <v>138</v>
      </c>
      <c r="F39" s="57" t="s">
        <v>139</v>
      </c>
      <c r="G39" s="57" t="s">
        <v>138</v>
      </c>
      <c r="H39" s="57" t="s">
        <v>139</v>
      </c>
      <c r="I39" s="57" t="s">
        <v>138</v>
      </c>
      <c r="J39" s="57" t="s">
        <v>139</v>
      </c>
      <c r="K39" s="76" t="s">
        <v>205</v>
      </c>
      <c r="L39" s="76"/>
      <c r="M39" s="76" t="s">
        <v>24</v>
      </c>
      <c r="N39" s="75">
        <v>1</v>
      </c>
      <c r="O39" s="75">
        <v>3298750</v>
      </c>
      <c r="P39" s="75">
        <f t="shared" ref="P39" si="11">O39*N39</f>
        <v>3298750</v>
      </c>
      <c r="Q39" s="75" t="s">
        <v>25</v>
      </c>
      <c r="R39" s="76" t="s">
        <v>477</v>
      </c>
      <c r="S39" s="76" t="s">
        <v>476</v>
      </c>
      <c r="T39" s="59" t="s">
        <v>458</v>
      </c>
      <c r="U39" s="76" t="s">
        <v>78</v>
      </c>
      <c r="V39" s="76" t="s">
        <v>79</v>
      </c>
      <c r="W39" s="76">
        <v>0</v>
      </c>
      <c r="X39" s="62"/>
    </row>
    <row r="40" spans="1:24" s="88" customFormat="1" ht="71.25" customHeight="1">
      <c r="A40" s="26">
        <v>30</v>
      </c>
      <c r="B40" s="55" t="s">
        <v>21</v>
      </c>
      <c r="C40" s="76" t="s">
        <v>23</v>
      </c>
      <c r="D40" s="57" t="s">
        <v>68</v>
      </c>
      <c r="E40" s="57" t="s">
        <v>138</v>
      </c>
      <c r="F40" s="57" t="s">
        <v>139</v>
      </c>
      <c r="G40" s="57" t="s">
        <v>138</v>
      </c>
      <c r="H40" s="57" t="s">
        <v>139</v>
      </c>
      <c r="I40" s="57" t="s">
        <v>138</v>
      </c>
      <c r="J40" s="57" t="s">
        <v>139</v>
      </c>
      <c r="K40" s="76" t="s">
        <v>26</v>
      </c>
      <c r="L40" s="76" t="s">
        <v>750</v>
      </c>
      <c r="M40" s="76" t="s">
        <v>24</v>
      </c>
      <c r="N40" s="75">
        <v>1</v>
      </c>
      <c r="O40" s="75">
        <v>406000</v>
      </c>
      <c r="P40" s="75">
        <f t="shared" si="0"/>
        <v>406000</v>
      </c>
      <c r="Q40" s="75" t="s">
        <v>25</v>
      </c>
      <c r="R40" s="76" t="s">
        <v>478</v>
      </c>
      <c r="S40" s="76" t="s">
        <v>479</v>
      </c>
      <c r="T40" s="59" t="s">
        <v>260</v>
      </c>
      <c r="U40" s="76" t="s">
        <v>90</v>
      </c>
      <c r="V40" s="76" t="s">
        <v>89</v>
      </c>
      <c r="W40" s="76">
        <v>0</v>
      </c>
      <c r="X40" s="62"/>
    </row>
    <row r="41" spans="1:24" s="88" customFormat="1" ht="48.75" customHeight="1">
      <c r="A41" s="26">
        <v>31</v>
      </c>
      <c r="B41" s="55" t="s">
        <v>21</v>
      </c>
      <c r="C41" s="76" t="s">
        <v>23</v>
      </c>
      <c r="D41" s="57" t="s">
        <v>68</v>
      </c>
      <c r="E41" s="57" t="s">
        <v>138</v>
      </c>
      <c r="F41" s="57" t="s">
        <v>139</v>
      </c>
      <c r="G41" s="57" t="s">
        <v>138</v>
      </c>
      <c r="H41" s="57" t="s">
        <v>139</v>
      </c>
      <c r="I41" s="57" t="s">
        <v>138</v>
      </c>
      <c r="J41" s="57" t="s">
        <v>139</v>
      </c>
      <c r="K41" s="76" t="s">
        <v>205</v>
      </c>
      <c r="L41" s="76"/>
      <c r="M41" s="76" t="s">
        <v>24</v>
      </c>
      <c r="N41" s="75">
        <v>1</v>
      </c>
      <c r="O41" s="75">
        <v>2030000</v>
      </c>
      <c r="P41" s="75">
        <f t="shared" ref="P41" si="12">O41*N41</f>
        <v>2030000</v>
      </c>
      <c r="Q41" s="75" t="s">
        <v>25</v>
      </c>
      <c r="R41" s="76" t="s">
        <v>477</v>
      </c>
      <c r="S41" s="76" t="s">
        <v>476</v>
      </c>
      <c r="T41" s="59" t="s">
        <v>260</v>
      </c>
      <c r="U41" s="76" t="s">
        <v>90</v>
      </c>
      <c r="V41" s="76" t="s">
        <v>89</v>
      </c>
      <c r="W41" s="76">
        <v>0</v>
      </c>
      <c r="X41" s="62"/>
    </row>
    <row r="42" spans="1:24" s="88" customFormat="1" ht="102">
      <c r="A42" s="26">
        <v>32</v>
      </c>
      <c r="B42" s="28" t="s">
        <v>21</v>
      </c>
      <c r="C42" s="76" t="s">
        <v>23</v>
      </c>
      <c r="D42" s="57" t="s">
        <v>101</v>
      </c>
      <c r="E42" s="57" t="s">
        <v>106</v>
      </c>
      <c r="F42" s="57" t="s">
        <v>102</v>
      </c>
      <c r="G42" s="57" t="s">
        <v>106</v>
      </c>
      <c r="H42" s="57" t="s">
        <v>102</v>
      </c>
      <c r="I42" s="76" t="s">
        <v>137</v>
      </c>
      <c r="J42" s="76" t="s">
        <v>136</v>
      </c>
      <c r="K42" s="76" t="s">
        <v>205</v>
      </c>
      <c r="L42" s="76"/>
      <c r="M42" s="76" t="s">
        <v>24</v>
      </c>
      <c r="N42" s="75">
        <v>1</v>
      </c>
      <c r="O42" s="75">
        <v>1000000</v>
      </c>
      <c r="P42" s="75">
        <f t="shared" si="0"/>
        <v>1000000</v>
      </c>
      <c r="Q42" s="59" t="s">
        <v>103</v>
      </c>
      <c r="R42" s="54" t="s">
        <v>237</v>
      </c>
      <c r="S42" s="76" t="s">
        <v>236</v>
      </c>
      <c r="T42" s="76">
        <v>195253200</v>
      </c>
      <c r="U42" s="76" t="s">
        <v>470</v>
      </c>
      <c r="V42" s="76" t="s">
        <v>469</v>
      </c>
      <c r="W42" s="76">
        <v>0</v>
      </c>
      <c r="X42" s="76" t="s">
        <v>440</v>
      </c>
    </row>
    <row r="43" spans="1:24" s="88" customFormat="1" ht="102">
      <c r="A43" s="26">
        <v>33</v>
      </c>
      <c r="B43" s="55" t="s">
        <v>21</v>
      </c>
      <c r="C43" s="76" t="s">
        <v>23</v>
      </c>
      <c r="D43" s="57" t="s">
        <v>101</v>
      </c>
      <c r="E43" s="57" t="s">
        <v>106</v>
      </c>
      <c r="F43" s="57" t="s">
        <v>102</v>
      </c>
      <c r="G43" s="57" t="s">
        <v>106</v>
      </c>
      <c r="H43" s="57" t="s">
        <v>102</v>
      </c>
      <c r="I43" s="76" t="s">
        <v>135</v>
      </c>
      <c r="J43" s="76" t="s">
        <v>134</v>
      </c>
      <c r="K43" s="76" t="s">
        <v>205</v>
      </c>
      <c r="L43" s="76"/>
      <c r="M43" s="76" t="s">
        <v>24</v>
      </c>
      <c r="N43" s="75">
        <v>1</v>
      </c>
      <c r="O43" s="75">
        <v>1200000</v>
      </c>
      <c r="P43" s="75">
        <f t="shared" si="0"/>
        <v>1200000</v>
      </c>
      <c r="Q43" s="59" t="s">
        <v>103</v>
      </c>
      <c r="R43" s="54" t="s">
        <v>237</v>
      </c>
      <c r="S43" s="76" t="s">
        <v>236</v>
      </c>
      <c r="T43" s="76">
        <v>195253200</v>
      </c>
      <c r="U43" s="76" t="s">
        <v>470</v>
      </c>
      <c r="V43" s="76" t="s">
        <v>469</v>
      </c>
      <c r="W43" s="76">
        <v>0</v>
      </c>
      <c r="X43" s="76" t="s">
        <v>440</v>
      </c>
    </row>
    <row r="44" spans="1:24" s="89" customFormat="1" ht="76.5">
      <c r="A44" s="26">
        <v>34</v>
      </c>
      <c r="B44" s="55" t="s">
        <v>21</v>
      </c>
      <c r="C44" s="57" t="s">
        <v>209</v>
      </c>
      <c r="D44" s="57" t="s">
        <v>464</v>
      </c>
      <c r="E44" s="57" t="s">
        <v>466</v>
      </c>
      <c r="F44" s="57" t="s">
        <v>465</v>
      </c>
      <c r="G44" s="57" t="s">
        <v>466</v>
      </c>
      <c r="H44" s="57" t="s">
        <v>465</v>
      </c>
      <c r="I44" s="57" t="s">
        <v>468</v>
      </c>
      <c r="J44" s="57" t="s">
        <v>467</v>
      </c>
      <c r="K44" s="76" t="s">
        <v>206</v>
      </c>
      <c r="L44" s="57"/>
      <c r="M44" s="76" t="s">
        <v>24</v>
      </c>
      <c r="N44" s="75">
        <v>1</v>
      </c>
      <c r="O44" s="75">
        <v>219898.14</v>
      </c>
      <c r="P44" s="75">
        <f t="shared" si="0"/>
        <v>219898.14</v>
      </c>
      <c r="Q44" s="59" t="s">
        <v>317</v>
      </c>
      <c r="R44" s="63" t="s">
        <v>463</v>
      </c>
      <c r="S44" s="76" t="s">
        <v>462</v>
      </c>
      <c r="T44" s="59" t="s">
        <v>263</v>
      </c>
      <c r="U44" s="76" t="s">
        <v>265</v>
      </c>
      <c r="V44" s="76" t="s">
        <v>264</v>
      </c>
      <c r="W44" s="76">
        <v>0</v>
      </c>
      <c r="X44" s="76"/>
    </row>
    <row r="45" spans="1:24" s="89" customFormat="1" ht="76.5">
      <c r="A45" s="76">
        <v>35</v>
      </c>
      <c r="B45" s="55" t="s">
        <v>21</v>
      </c>
      <c r="C45" s="57" t="s">
        <v>209</v>
      </c>
      <c r="D45" s="57" t="s">
        <v>464</v>
      </c>
      <c r="E45" s="57" t="s">
        <v>261</v>
      </c>
      <c r="F45" s="57" t="s">
        <v>465</v>
      </c>
      <c r="G45" s="57" t="s">
        <v>262</v>
      </c>
      <c r="H45" s="57" t="s">
        <v>465</v>
      </c>
      <c r="I45" s="57" t="s">
        <v>468</v>
      </c>
      <c r="J45" s="57" t="s">
        <v>467</v>
      </c>
      <c r="K45" s="76" t="s">
        <v>206</v>
      </c>
      <c r="L45" s="57"/>
      <c r="M45" s="76" t="s">
        <v>24</v>
      </c>
      <c r="N45" s="75">
        <v>1</v>
      </c>
      <c r="O45" s="95">
        <v>651694.94999999995</v>
      </c>
      <c r="P45" s="75">
        <f t="shared" ref="P45:P47" si="13">O45*N45</f>
        <v>651694.94999999995</v>
      </c>
      <c r="Q45" s="117" t="s">
        <v>406</v>
      </c>
      <c r="R45" s="63" t="s">
        <v>463</v>
      </c>
      <c r="S45" s="76" t="s">
        <v>462</v>
      </c>
      <c r="T45" s="59" t="s">
        <v>416</v>
      </c>
      <c r="U45" s="76" t="s">
        <v>423</v>
      </c>
      <c r="V45" s="76" t="s">
        <v>424</v>
      </c>
      <c r="W45" s="76">
        <v>0</v>
      </c>
      <c r="X45" s="76"/>
    </row>
    <row r="46" spans="1:24" s="89" customFormat="1" ht="76.5">
      <c r="A46" s="76">
        <v>36</v>
      </c>
      <c r="B46" s="55" t="s">
        <v>21</v>
      </c>
      <c r="C46" s="57" t="s">
        <v>209</v>
      </c>
      <c r="D46" s="57" t="s">
        <v>464</v>
      </c>
      <c r="E46" s="57" t="s">
        <v>261</v>
      </c>
      <c r="F46" s="57" t="s">
        <v>465</v>
      </c>
      <c r="G46" s="57" t="s">
        <v>262</v>
      </c>
      <c r="H46" s="57" t="s">
        <v>465</v>
      </c>
      <c r="I46" s="57" t="s">
        <v>468</v>
      </c>
      <c r="J46" s="57" t="s">
        <v>467</v>
      </c>
      <c r="K46" s="76" t="s">
        <v>206</v>
      </c>
      <c r="L46" s="57"/>
      <c r="M46" s="76" t="s">
        <v>24</v>
      </c>
      <c r="N46" s="75">
        <v>1</v>
      </c>
      <c r="O46" s="75">
        <v>264983.88</v>
      </c>
      <c r="P46" s="75">
        <f t="shared" si="13"/>
        <v>264983.88</v>
      </c>
      <c r="Q46" s="59" t="s">
        <v>317</v>
      </c>
      <c r="R46" s="63" t="s">
        <v>463</v>
      </c>
      <c r="S46" s="76" t="s">
        <v>462</v>
      </c>
      <c r="T46" s="59" t="s">
        <v>417</v>
      </c>
      <c r="U46" s="76" t="s">
        <v>460</v>
      </c>
      <c r="V46" s="76" t="s">
        <v>459</v>
      </c>
      <c r="W46" s="76">
        <v>0</v>
      </c>
      <c r="X46" s="76"/>
    </row>
    <row r="47" spans="1:24" s="89" customFormat="1" ht="76.5">
      <c r="A47" s="76">
        <v>37</v>
      </c>
      <c r="B47" s="55" t="s">
        <v>21</v>
      </c>
      <c r="C47" s="57" t="s">
        <v>209</v>
      </c>
      <c r="D47" s="57" t="s">
        <v>464</v>
      </c>
      <c r="E47" s="57" t="s">
        <v>261</v>
      </c>
      <c r="F47" s="57" t="s">
        <v>465</v>
      </c>
      <c r="G47" s="57" t="s">
        <v>262</v>
      </c>
      <c r="H47" s="57" t="s">
        <v>465</v>
      </c>
      <c r="I47" s="57" t="s">
        <v>468</v>
      </c>
      <c r="J47" s="57" t="s">
        <v>467</v>
      </c>
      <c r="K47" s="76" t="s">
        <v>206</v>
      </c>
      <c r="L47" s="57"/>
      <c r="M47" s="76" t="s">
        <v>24</v>
      </c>
      <c r="N47" s="75">
        <v>1</v>
      </c>
      <c r="O47" s="95">
        <v>38220</v>
      </c>
      <c r="P47" s="75">
        <f t="shared" si="13"/>
        <v>38220</v>
      </c>
      <c r="Q47" s="117" t="s">
        <v>406</v>
      </c>
      <c r="R47" s="63" t="s">
        <v>463</v>
      </c>
      <c r="S47" s="76" t="s">
        <v>462</v>
      </c>
      <c r="T47" s="59" t="s">
        <v>461</v>
      </c>
      <c r="U47" s="76" t="s">
        <v>397</v>
      </c>
      <c r="V47" s="76" t="s">
        <v>65</v>
      </c>
      <c r="W47" s="76">
        <v>0</v>
      </c>
      <c r="X47" s="76"/>
    </row>
    <row r="48" spans="1:24" ht="76.5">
      <c r="A48" s="26">
        <v>38</v>
      </c>
      <c r="B48" s="55" t="s">
        <v>21</v>
      </c>
      <c r="C48" s="76" t="s">
        <v>100</v>
      </c>
      <c r="D48" s="76" t="s">
        <v>266</v>
      </c>
      <c r="E48" s="76" t="s">
        <v>431</v>
      </c>
      <c r="F48" s="76" t="s">
        <v>270</v>
      </c>
      <c r="G48" s="76" t="s">
        <v>432</v>
      </c>
      <c r="H48" s="76" t="s">
        <v>281</v>
      </c>
      <c r="I48" s="76" t="s">
        <v>267</v>
      </c>
      <c r="J48" s="76" t="s">
        <v>268</v>
      </c>
      <c r="K48" s="76" t="s">
        <v>206</v>
      </c>
      <c r="L48" s="76"/>
      <c r="M48" s="76" t="s">
        <v>269</v>
      </c>
      <c r="N48" s="105">
        <v>1500</v>
      </c>
      <c r="O48" s="106">
        <v>2700</v>
      </c>
      <c r="P48" s="75">
        <f t="shared" ref="P48" si="14">N48*O48</f>
        <v>4050000</v>
      </c>
      <c r="Q48" s="59" t="s">
        <v>94</v>
      </c>
      <c r="R48" s="54" t="s">
        <v>207</v>
      </c>
      <c r="S48" s="76" t="s">
        <v>208</v>
      </c>
      <c r="T48" s="76" t="s">
        <v>22</v>
      </c>
      <c r="U48" s="76" t="s">
        <v>482</v>
      </c>
      <c r="V48" s="76" t="s">
        <v>483</v>
      </c>
      <c r="W48" s="76">
        <v>0</v>
      </c>
      <c r="X48" s="76"/>
    </row>
    <row r="49" spans="1:24" s="90" customFormat="1" ht="84" customHeight="1">
      <c r="A49" s="26">
        <v>39</v>
      </c>
      <c r="B49" s="55" t="s">
        <v>21</v>
      </c>
      <c r="C49" s="76" t="s">
        <v>100</v>
      </c>
      <c r="D49" s="57" t="s">
        <v>433</v>
      </c>
      <c r="E49" s="57" t="s">
        <v>436</v>
      </c>
      <c r="F49" s="57" t="s">
        <v>434</v>
      </c>
      <c r="G49" s="57" t="s">
        <v>437</v>
      </c>
      <c r="H49" s="57" t="s">
        <v>435</v>
      </c>
      <c r="I49" s="57" t="s">
        <v>439</v>
      </c>
      <c r="J49" s="57" t="s">
        <v>438</v>
      </c>
      <c r="K49" s="76" t="s">
        <v>206</v>
      </c>
      <c r="L49" s="76"/>
      <c r="M49" s="76" t="s">
        <v>516</v>
      </c>
      <c r="N49" s="75">
        <v>150</v>
      </c>
      <c r="O49" s="75">
        <v>39</v>
      </c>
      <c r="P49" s="75">
        <f t="shared" ref="P49" si="15">N49*O49</f>
        <v>5850</v>
      </c>
      <c r="Q49" s="59" t="s">
        <v>317</v>
      </c>
      <c r="R49" s="54" t="s">
        <v>207</v>
      </c>
      <c r="S49" s="76" t="s">
        <v>208</v>
      </c>
      <c r="T49" s="76" t="s">
        <v>22</v>
      </c>
      <c r="U49" s="76" t="s">
        <v>482</v>
      </c>
      <c r="V49" s="76" t="s">
        <v>483</v>
      </c>
      <c r="W49" s="76">
        <v>0</v>
      </c>
      <c r="X49" s="62"/>
    </row>
    <row r="50" spans="1:24" s="31" customFormat="1" ht="76.5">
      <c r="A50" s="26">
        <v>40</v>
      </c>
      <c r="B50" s="55" t="s">
        <v>21</v>
      </c>
      <c r="C50" s="76" t="s">
        <v>100</v>
      </c>
      <c r="D50" s="57" t="s">
        <v>517</v>
      </c>
      <c r="E50" s="58" t="s">
        <v>520</v>
      </c>
      <c r="F50" s="57" t="s">
        <v>518</v>
      </c>
      <c r="G50" s="57" t="s">
        <v>521</v>
      </c>
      <c r="H50" s="57" t="s">
        <v>519</v>
      </c>
      <c r="I50" s="57" t="s">
        <v>549</v>
      </c>
      <c r="J50" s="57" t="s">
        <v>548</v>
      </c>
      <c r="K50" s="76" t="s">
        <v>206</v>
      </c>
      <c r="L50" s="76"/>
      <c r="M50" s="76" t="s">
        <v>269</v>
      </c>
      <c r="N50" s="75">
        <v>100</v>
      </c>
      <c r="O50" s="75">
        <v>197</v>
      </c>
      <c r="P50" s="75">
        <f t="shared" ref="P50:P51" si="16">O50*N50</f>
        <v>19700</v>
      </c>
      <c r="Q50" s="59" t="s">
        <v>317</v>
      </c>
      <c r="R50" s="54" t="s">
        <v>207</v>
      </c>
      <c r="S50" s="76" t="s">
        <v>208</v>
      </c>
      <c r="T50" s="76" t="s">
        <v>22</v>
      </c>
      <c r="U50" s="76" t="s">
        <v>482</v>
      </c>
      <c r="V50" s="76" t="s">
        <v>483</v>
      </c>
      <c r="W50" s="76">
        <v>0</v>
      </c>
      <c r="X50" s="76"/>
    </row>
    <row r="51" spans="1:24" s="31" customFormat="1" ht="76.5">
      <c r="A51" s="26">
        <v>41</v>
      </c>
      <c r="B51" s="55" t="s">
        <v>21</v>
      </c>
      <c r="C51" s="76" t="s">
        <v>100</v>
      </c>
      <c r="D51" s="57" t="s">
        <v>522</v>
      </c>
      <c r="E51" s="57" t="s">
        <v>523</v>
      </c>
      <c r="F51" s="57" t="s">
        <v>523</v>
      </c>
      <c r="G51" s="57" t="s">
        <v>525</v>
      </c>
      <c r="H51" s="57" t="s">
        <v>524</v>
      </c>
      <c r="I51" s="114" t="s">
        <v>700</v>
      </c>
      <c r="J51" s="76" t="s">
        <v>699</v>
      </c>
      <c r="K51" s="76" t="s">
        <v>206</v>
      </c>
      <c r="L51" s="76"/>
      <c r="M51" s="76" t="s">
        <v>98</v>
      </c>
      <c r="N51" s="75">
        <v>30</v>
      </c>
      <c r="O51" s="75">
        <v>261</v>
      </c>
      <c r="P51" s="75">
        <f t="shared" si="16"/>
        <v>7830</v>
      </c>
      <c r="Q51" s="59" t="s">
        <v>317</v>
      </c>
      <c r="R51" s="54" t="s">
        <v>207</v>
      </c>
      <c r="S51" s="76" t="s">
        <v>208</v>
      </c>
      <c r="T51" s="76" t="s">
        <v>22</v>
      </c>
      <c r="U51" s="76" t="s">
        <v>482</v>
      </c>
      <c r="V51" s="76" t="s">
        <v>483</v>
      </c>
      <c r="W51" s="76">
        <v>0</v>
      </c>
      <c r="X51" s="76"/>
    </row>
    <row r="52" spans="1:24" s="31" customFormat="1" ht="76.5">
      <c r="A52" s="26">
        <v>42</v>
      </c>
      <c r="B52" s="55" t="s">
        <v>21</v>
      </c>
      <c r="C52" s="76" t="s">
        <v>36</v>
      </c>
      <c r="D52" s="76" t="s">
        <v>526</v>
      </c>
      <c r="E52" s="57" t="s">
        <v>528</v>
      </c>
      <c r="F52" s="57" t="s">
        <v>527</v>
      </c>
      <c r="G52" s="57" t="s">
        <v>525</v>
      </c>
      <c r="H52" s="76" t="s">
        <v>524</v>
      </c>
      <c r="I52" s="76" t="s">
        <v>530</v>
      </c>
      <c r="J52" s="76" t="s">
        <v>529</v>
      </c>
      <c r="K52" s="76" t="s">
        <v>206</v>
      </c>
      <c r="L52" s="76"/>
      <c r="M52" s="76" t="s">
        <v>98</v>
      </c>
      <c r="N52" s="75">
        <v>80</v>
      </c>
      <c r="O52" s="75">
        <v>392</v>
      </c>
      <c r="P52" s="75">
        <f t="shared" ref="P52:P56" si="17">N52*O52</f>
        <v>31360</v>
      </c>
      <c r="Q52" s="59" t="s">
        <v>317</v>
      </c>
      <c r="R52" s="54" t="s">
        <v>207</v>
      </c>
      <c r="S52" s="76" t="s">
        <v>208</v>
      </c>
      <c r="T52" s="76" t="s">
        <v>22</v>
      </c>
      <c r="U52" s="76" t="s">
        <v>482</v>
      </c>
      <c r="V52" s="76" t="s">
        <v>483</v>
      </c>
      <c r="W52" s="76">
        <v>0</v>
      </c>
      <c r="X52" s="76"/>
    </row>
    <row r="53" spans="1:24" s="31" customFormat="1" ht="76.5">
      <c r="A53" s="26">
        <v>43</v>
      </c>
      <c r="B53" s="55" t="s">
        <v>21</v>
      </c>
      <c r="C53" s="76" t="s">
        <v>36</v>
      </c>
      <c r="D53" s="76" t="s">
        <v>531</v>
      </c>
      <c r="E53" s="57" t="s">
        <v>533</v>
      </c>
      <c r="F53" s="57" t="s">
        <v>532</v>
      </c>
      <c r="G53" s="57" t="s">
        <v>535</v>
      </c>
      <c r="H53" s="76" t="s">
        <v>534</v>
      </c>
      <c r="I53" s="57" t="s">
        <v>533</v>
      </c>
      <c r="J53" s="57" t="s">
        <v>532</v>
      </c>
      <c r="K53" s="76" t="s">
        <v>206</v>
      </c>
      <c r="L53" s="26"/>
      <c r="M53" s="76" t="s">
        <v>98</v>
      </c>
      <c r="N53" s="61">
        <v>50</v>
      </c>
      <c r="O53" s="61">
        <v>110</v>
      </c>
      <c r="P53" s="75">
        <f t="shared" si="17"/>
        <v>5500</v>
      </c>
      <c r="Q53" s="59" t="s">
        <v>317</v>
      </c>
      <c r="R53" s="54" t="s">
        <v>207</v>
      </c>
      <c r="S53" s="76" t="s">
        <v>208</v>
      </c>
      <c r="T53" s="76" t="s">
        <v>22</v>
      </c>
      <c r="U53" s="76" t="s">
        <v>482</v>
      </c>
      <c r="V53" s="76" t="s">
        <v>483</v>
      </c>
      <c r="W53" s="76">
        <v>0</v>
      </c>
      <c r="X53" s="108"/>
    </row>
    <row r="54" spans="1:24" s="90" customFormat="1" ht="76.5">
      <c r="A54" s="26">
        <v>44</v>
      </c>
      <c r="B54" s="55" t="s">
        <v>21</v>
      </c>
      <c r="C54" s="76" t="s">
        <v>36</v>
      </c>
      <c r="D54" s="76" t="s">
        <v>271</v>
      </c>
      <c r="E54" s="57" t="s">
        <v>272</v>
      </c>
      <c r="F54" s="57" t="s">
        <v>273</v>
      </c>
      <c r="G54" s="76" t="s">
        <v>274</v>
      </c>
      <c r="H54" s="76" t="s">
        <v>275</v>
      </c>
      <c r="I54" s="76" t="s">
        <v>707</v>
      </c>
      <c r="J54" s="76" t="s">
        <v>706</v>
      </c>
      <c r="K54" s="76" t="s">
        <v>206</v>
      </c>
      <c r="L54" s="76"/>
      <c r="M54" s="76" t="s">
        <v>98</v>
      </c>
      <c r="N54" s="75">
        <v>30</v>
      </c>
      <c r="O54" s="75">
        <v>418</v>
      </c>
      <c r="P54" s="75">
        <f t="shared" si="17"/>
        <v>12540</v>
      </c>
      <c r="Q54" s="59" t="s">
        <v>317</v>
      </c>
      <c r="R54" s="54" t="s">
        <v>207</v>
      </c>
      <c r="S54" s="76" t="s">
        <v>208</v>
      </c>
      <c r="T54" s="76" t="s">
        <v>22</v>
      </c>
      <c r="U54" s="76" t="s">
        <v>482</v>
      </c>
      <c r="V54" s="76" t="s">
        <v>483</v>
      </c>
      <c r="W54" s="76">
        <v>0</v>
      </c>
      <c r="X54" s="108"/>
    </row>
    <row r="55" spans="1:24" s="31" customFormat="1" ht="76.5">
      <c r="A55" s="26">
        <v>45</v>
      </c>
      <c r="B55" s="55" t="s">
        <v>21</v>
      </c>
      <c r="C55" s="76" t="s">
        <v>36</v>
      </c>
      <c r="D55" s="57" t="s">
        <v>536</v>
      </c>
      <c r="E55" s="57" t="s">
        <v>538</v>
      </c>
      <c r="F55" s="57" t="s">
        <v>537</v>
      </c>
      <c r="G55" s="76" t="s">
        <v>539</v>
      </c>
      <c r="H55" s="76" t="s">
        <v>540</v>
      </c>
      <c r="I55" s="57" t="s">
        <v>538</v>
      </c>
      <c r="J55" s="57" t="s">
        <v>537</v>
      </c>
      <c r="K55" s="76" t="s">
        <v>206</v>
      </c>
      <c r="L55" s="76"/>
      <c r="M55" s="76" t="s">
        <v>98</v>
      </c>
      <c r="N55" s="75">
        <v>10</v>
      </c>
      <c r="O55" s="75">
        <v>350</v>
      </c>
      <c r="P55" s="75">
        <f t="shared" si="17"/>
        <v>3500</v>
      </c>
      <c r="Q55" s="59" t="s">
        <v>317</v>
      </c>
      <c r="R55" s="54" t="s">
        <v>207</v>
      </c>
      <c r="S55" s="76" t="s">
        <v>208</v>
      </c>
      <c r="T55" s="76" t="s">
        <v>22</v>
      </c>
      <c r="U55" s="76" t="s">
        <v>482</v>
      </c>
      <c r="V55" s="76" t="s">
        <v>483</v>
      </c>
      <c r="W55" s="76">
        <v>0</v>
      </c>
      <c r="X55" s="108"/>
    </row>
    <row r="56" spans="1:24" s="31" customFormat="1" ht="87.75" customHeight="1">
      <c r="A56" s="26">
        <v>46</v>
      </c>
      <c r="B56" s="55" t="s">
        <v>21</v>
      </c>
      <c r="C56" s="76" t="s">
        <v>36</v>
      </c>
      <c r="D56" s="76" t="s">
        <v>541</v>
      </c>
      <c r="E56" s="76" t="s">
        <v>542</v>
      </c>
      <c r="F56" s="76" t="s">
        <v>543</v>
      </c>
      <c r="G56" s="76" t="s">
        <v>544</v>
      </c>
      <c r="H56" s="76" t="s">
        <v>545</v>
      </c>
      <c r="I56" s="76" t="s">
        <v>709</v>
      </c>
      <c r="J56" s="60" t="s">
        <v>708</v>
      </c>
      <c r="K56" s="76" t="s">
        <v>206</v>
      </c>
      <c r="L56" s="26"/>
      <c r="M56" s="55" t="s">
        <v>99</v>
      </c>
      <c r="N56" s="61">
        <v>30</v>
      </c>
      <c r="O56" s="61">
        <v>60</v>
      </c>
      <c r="P56" s="1">
        <f t="shared" si="17"/>
        <v>1800</v>
      </c>
      <c r="Q56" s="59" t="s">
        <v>317</v>
      </c>
      <c r="R56" s="54" t="s">
        <v>207</v>
      </c>
      <c r="S56" s="76" t="s">
        <v>208</v>
      </c>
      <c r="T56" s="76" t="s">
        <v>22</v>
      </c>
      <c r="U56" s="76" t="s">
        <v>482</v>
      </c>
      <c r="V56" s="76" t="s">
        <v>483</v>
      </c>
      <c r="W56" s="76">
        <v>0</v>
      </c>
      <c r="X56" s="108"/>
    </row>
    <row r="57" spans="1:24" s="31" customFormat="1" ht="76.5">
      <c r="A57" s="26">
        <v>47</v>
      </c>
      <c r="B57" s="55" t="s">
        <v>21</v>
      </c>
      <c r="C57" s="76" t="s">
        <v>36</v>
      </c>
      <c r="D57" s="76" t="s">
        <v>541</v>
      </c>
      <c r="E57" s="76" t="s">
        <v>542</v>
      </c>
      <c r="F57" s="76" t="s">
        <v>543</v>
      </c>
      <c r="G57" s="76" t="s">
        <v>544</v>
      </c>
      <c r="H57" s="76" t="s">
        <v>545</v>
      </c>
      <c r="I57" s="76" t="s">
        <v>547</v>
      </c>
      <c r="J57" s="76" t="s">
        <v>546</v>
      </c>
      <c r="K57" s="76" t="s">
        <v>206</v>
      </c>
      <c r="L57" s="76"/>
      <c r="M57" s="76" t="s">
        <v>99</v>
      </c>
      <c r="N57" s="105">
        <v>200</v>
      </c>
      <c r="O57" s="75">
        <v>145</v>
      </c>
      <c r="P57" s="75">
        <f>N57*O57</f>
        <v>29000</v>
      </c>
      <c r="Q57" s="59" t="s">
        <v>317</v>
      </c>
      <c r="R57" s="54" t="s">
        <v>207</v>
      </c>
      <c r="S57" s="76" t="s">
        <v>208</v>
      </c>
      <c r="T57" s="76" t="s">
        <v>22</v>
      </c>
      <c r="U57" s="76" t="s">
        <v>482</v>
      </c>
      <c r="V57" s="76" t="s">
        <v>483</v>
      </c>
      <c r="W57" s="76">
        <v>0</v>
      </c>
      <c r="X57" s="108"/>
    </row>
    <row r="58" spans="1:24" s="31" customFormat="1" ht="76.5">
      <c r="A58" s="26">
        <v>48</v>
      </c>
      <c r="B58" s="55" t="s">
        <v>21</v>
      </c>
      <c r="C58" s="76" t="s">
        <v>100</v>
      </c>
      <c r="D58" s="57" t="s">
        <v>276</v>
      </c>
      <c r="E58" s="58" t="s">
        <v>277</v>
      </c>
      <c r="F58" s="57" t="s">
        <v>278</v>
      </c>
      <c r="G58" s="57" t="s">
        <v>279</v>
      </c>
      <c r="H58" s="57" t="s">
        <v>280</v>
      </c>
      <c r="I58" s="113" t="s">
        <v>402</v>
      </c>
      <c r="J58" s="82" t="s">
        <v>710</v>
      </c>
      <c r="K58" s="76" t="s">
        <v>206</v>
      </c>
      <c r="L58" s="76"/>
      <c r="M58" s="76" t="s">
        <v>98</v>
      </c>
      <c r="N58" s="75">
        <v>500</v>
      </c>
      <c r="O58" s="75">
        <v>70</v>
      </c>
      <c r="P58" s="75">
        <f t="shared" ref="P58" si="18">O58*N58</f>
        <v>35000</v>
      </c>
      <c r="Q58" s="59" t="s">
        <v>317</v>
      </c>
      <c r="R58" s="54" t="s">
        <v>207</v>
      </c>
      <c r="S58" s="76" t="s">
        <v>208</v>
      </c>
      <c r="T58" s="76" t="s">
        <v>22</v>
      </c>
      <c r="U58" s="76" t="s">
        <v>482</v>
      </c>
      <c r="V58" s="76" t="s">
        <v>483</v>
      </c>
      <c r="W58" s="76">
        <v>0</v>
      </c>
      <c r="X58" s="76"/>
    </row>
    <row r="59" spans="1:24" s="31" customFormat="1" ht="76.5">
      <c r="A59" s="26">
        <v>49</v>
      </c>
      <c r="B59" s="55" t="s">
        <v>21</v>
      </c>
      <c r="C59" s="76" t="s">
        <v>100</v>
      </c>
      <c r="D59" s="57" t="s">
        <v>550</v>
      </c>
      <c r="E59" s="58" t="s">
        <v>551</v>
      </c>
      <c r="F59" s="57" t="s">
        <v>552</v>
      </c>
      <c r="G59" s="57" t="s">
        <v>525</v>
      </c>
      <c r="H59" s="57" t="s">
        <v>524</v>
      </c>
      <c r="I59" s="113" t="s">
        <v>553</v>
      </c>
      <c r="J59" s="82" t="s">
        <v>554</v>
      </c>
      <c r="K59" s="76" t="s">
        <v>206</v>
      </c>
      <c r="L59" s="76"/>
      <c r="M59" s="76" t="s">
        <v>98</v>
      </c>
      <c r="N59" s="75">
        <v>30</v>
      </c>
      <c r="O59" s="75">
        <v>710</v>
      </c>
      <c r="P59" s="75">
        <f t="shared" ref="P59:P60" si="19">O59*N59</f>
        <v>21300</v>
      </c>
      <c r="Q59" s="59" t="s">
        <v>317</v>
      </c>
      <c r="R59" s="54" t="s">
        <v>207</v>
      </c>
      <c r="S59" s="76" t="s">
        <v>208</v>
      </c>
      <c r="T59" s="76" t="s">
        <v>22</v>
      </c>
      <c r="U59" s="76" t="s">
        <v>482</v>
      </c>
      <c r="V59" s="76" t="s">
        <v>483</v>
      </c>
      <c r="W59" s="76">
        <v>0</v>
      </c>
      <c r="X59" s="76"/>
    </row>
    <row r="60" spans="1:24" s="31" customFormat="1" ht="76.5">
      <c r="A60" s="26">
        <v>50</v>
      </c>
      <c r="B60" s="55" t="s">
        <v>21</v>
      </c>
      <c r="C60" s="76" t="s">
        <v>100</v>
      </c>
      <c r="D60" s="57" t="s">
        <v>555</v>
      </c>
      <c r="E60" s="58" t="s">
        <v>556</v>
      </c>
      <c r="F60" s="57" t="s">
        <v>557</v>
      </c>
      <c r="G60" s="57" t="s">
        <v>525</v>
      </c>
      <c r="H60" s="57" t="s">
        <v>524</v>
      </c>
      <c r="I60" s="114" t="s">
        <v>559</v>
      </c>
      <c r="J60" s="76" t="s">
        <v>558</v>
      </c>
      <c r="K60" s="76" t="s">
        <v>206</v>
      </c>
      <c r="L60" s="76"/>
      <c r="M60" s="76" t="s">
        <v>98</v>
      </c>
      <c r="N60" s="75">
        <v>20</v>
      </c>
      <c r="O60" s="75">
        <v>270</v>
      </c>
      <c r="P60" s="75">
        <f t="shared" si="19"/>
        <v>5400</v>
      </c>
      <c r="Q60" s="59" t="s">
        <v>317</v>
      </c>
      <c r="R60" s="54" t="s">
        <v>207</v>
      </c>
      <c r="S60" s="76" t="s">
        <v>208</v>
      </c>
      <c r="T60" s="76" t="s">
        <v>22</v>
      </c>
      <c r="U60" s="76" t="s">
        <v>482</v>
      </c>
      <c r="V60" s="76" t="s">
        <v>483</v>
      </c>
      <c r="W60" s="76">
        <v>0</v>
      </c>
      <c r="X60" s="76"/>
    </row>
    <row r="61" spans="1:24" s="31" customFormat="1" ht="76.5">
      <c r="A61" s="26">
        <v>51</v>
      </c>
      <c r="B61" s="55" t="s">
        <v>21</v>
      </c>
      <c r="C61" s="76" t="s">
        <v>36</v>
      </c>
      <c r="D61" s="57" t="s">
        <v>560</v>
      </c>
      <c r="E61" s="76" t="s">
        <v>561</v>
      </c>
      <c r="F61" s="76" t="s">
        <v>561</v>
      </c>
      <c r="G61" s="76" t="s">
        <v>562</v>
      </c>
      <c r="H61" s="76" t="s">
        <v>563</v>
      </c>
      <c r="I61" s="76" t="s">
        <v>561</v>
      </c>
      <c r="J61" s="76" t="s">
        <v>561</v>
      </c>
      <c r="K61" s="76" t="s">
        <v>206</v>
      </c>
      <c r="L61" s="76"/>
      <c r="M61" s="76" t="s">
        <v>98</v>
      </c>
      <c r="N61" s="75">
        <v>30</v>
      </c>
      <c r="O61" s="106">
        <v>203</v>
      </c>
      <c r="P61" s="75">
        <f t="shared" ref="P61:P66" si="20">N61*O61</f>
        <v>6090</v>
      </c>
      <c r="Q61" s="59" t="s">
        <v>317</v>
      </c>
      <c r="R61" s="54" t="s">
        <v>207</v>
      </c>
      <c r="S61" s="76" t="s">
        <v>208</v>
      </c>
      <c r="T61" s="76" t="s">
        <v>22</v>
      </c>
      <c r="U61" s="76" t="s">
        <v>482</v>
      </c>
      <c r="V61" s="76" t="s">
        <v>483</v>
      </c>
      <c r="W61" s="76">
        <v>0</v>
      </c>
      <c r="X61" s="62"/>
    </row>
    <row r="62" spans="1:24" s="31" customFormat="1" ht="76.5">
      <c r="A62" s="26">
        <v>52</v>
      </c>
      <c r="B62" s="55" t="s">
        <v>21</v>
      </c>
      <c r="C62" s="76" t="s">
        <v>36</v>
      </c>
      <c r="D62" s="57" t="s">
        <v>564</v>
      </c>
      <c r="E62" s="57" t="s">
        <v>565</v>
      </c>
      <c r="F62" s="57" t="s">
        <v>566</v>
      </c>
      <c r="G62" s="57" t="s">
        <v>567</v>
      </c>
      <c r="H62" s="57" t="s">
        <v>568</v>
      </c>
      <c r="I62" s="57" t="s">
        <v>570</v>
      </c>
      <c r="J62" s="57" t="s">
        <v>569</v>
      </c>
      <c r="K62" s="76" t="s">
        <v>206</v>
      </c>
      <c r="L62" s="55"/>
      <c r="M62" s="76" t="s">
        <v>98</v>
      </c>
      <c r="N62" s="61">
        <v>10</v>
      </c>
      <c r="O62" s="61">
        <v>895</v>
      </c>
      <c r="P62" s="75">
        <f t="shared" si="20"/>
        <v>8950</v>
      </c>
      <c r="Q62" s="59" t="s">
        <v>97</v>
      </c>
      <c r="R62" s="54" t="s">
        <v>207</v>
      </c>
      <c r="S62" s="76" t="s">
        <v>208</v>
      </c>
      <c r="T62" s="76" t="s">
        <v>22</v>
      </c>
      <c r="U62" s="76" t="s">
        <v>482</v>
      </c>
      <c r="V62" s="76" t="s">
        <v>483</v>
      </c>
      <c r="W62" s="76">
        <v>0</v>
      </c>
      <c r="X62" s="119" t="s">
        <v>440</v>
      </c>
    </row>
    <row r="63" spans="1:24" s="31" customFormat="1" ht="76.5">
      <c r="A63" s="26">
        <v>53</v>
      </c>
      <c r="B63" s="55" t="s">
        <v>21</v>
      </c>
      <c r="C63" s="76" t="s">
        <v>100</v>
      </c>
      <c r="D63" s="76" t="s">
        <v>571</v>
      </c>
      <c r="E63" s="57" t="s">
        <v>572</v>
      </c>
      <c r="F63" s="57" t="s">
        <v>573</v>
      </c>
      <c r="G63" s="57" t="s">
        <v>574</v>
      </c>
      <c r="H63" s="57" t="s">
        <v>575</v>
      </c>
      <c r="I63" s="57" t="s">
        <v>572</v>
      </c>
      <c r="J63" s="57" t="s">
        <v>573</v>
      </c>
      <c r="K63" s="76" t="s">
        <v>206</v>
      </c>
      <c r="L63" s="76"/>
      <c r="M63" s="76" t="s">
        <v>98</v>
      </c>
      <c r="N63" s="75">
        <v>20</v>
      </c>
      <c r="O63" s="75">
        <v>2139</v>
      </c>
      <c r="P63" s="75">
        <f t="shared" ref="P63" si="21">O63*N63</f>
        <v>42780</v>
      </c>
      <c r="Q63" s="59" t="s">
        <v>317</v>
      </c>
      <c r="R63" s="54" t="s">
        <v>207</v>
      </c>
      <c r="S63" s="76" t="s">
        <v>208</v>
      </c>
      <c r="T63" s="56" t="s">
        <v>22</v>
      </c>
      <c r="U63" s="76" t="s">
        <v>482</v>
      </c>
      <c r="V63" s="76" t="s">
        <v>483</v>
      </c>
      <c r="W63" s="76">
        <v>0</v>
      </c>
      <c r="X63" s="76"/>
    </row>
    <row r="64" spans="1:24" s="31" customFormat="1" ht="76.5">
      <c r="A64" s="26">
        <v>54</v>
      </c>
      <c r="B64" s="55" t="s">
        <v>21</v>
      </c>
      <c r="C64" s="76" t="s">
        <v>100</v>
      </c>
      <c r="D64" s="57" t="s">
        <v>576</v>
      </c>
      <c r="E64" s="57" t="s">
        <v>577</v>
      </c>
      <c r="F64" s="57" t="s">
        <v>578</v>
      </c>
      <c r="G64" s="57" t="s">
        <v>579</v>
      </c>
      <c r="H64" s="57" t="s">
        <v>580</v>
      </c>
      <c r="I64" s="57" t="s">
        <v>577</v>
      </c>
      <c r="J64" s="57" t="s">
        <v>578</v>
      </c>
      <c r="K64" s="76" t="s">
        <v>206</v>
      </c>
      <c r="L64" s="55"/>
      <c r="M64" s="76" t="s">
        <v>98</v>
      </c>
      <c r="N64" s="61">
        <v>30</v>
      </c>
      <c r="O64" s="61">
        <v>61</v>
      </c>
      <c r="P64" s="75">
        <f t="shared" si="20"/>
        <v>1830</v>
      </c>
      <c r="Q64" s="59" t="s">
        <v>317</v>
      </c>
      <c r="R64" s="54" t="s">
        <v>207</v>
      </c>
      <c r="S64" s="76" t="s">
        <v>208</v>
      </c>
      <c r="T64" s="56" t="s">
        <v>22</v>
      </c>
      <c r="U64" s="76" t="s">
        <v>482</v>
      </c>
      <c r="V64" s="76" t="s">
        <v>483</v>
      </c>
      <c r="W64" s="76">
        <v>0</v>
      </c>
      <c r="X64" s="108"/>
    </row>
    <row r="65" spans="1:24" ht="76.5">
      <c r="A65" s="26">
        <v>55</v>
      </c>
      <c r="B65" s="26" t="s">
        <v>21</v>
      </c>
      <c r="C65" s="76" t="s">
        <v>100</v>
      </c>
      <c r="D65" s="64" t="s">
        <v>581</v>
      </c>
      <c r="E65" s="76" t="s">
        <v>582</v>
      </c>
      <c r="F65" s="76" t="s">
        <v>583</v>
      </c>
      <c r="G65" s="76" t="s">
        <v>584</v>
      </c>
      <c r="H65" s="76" t="s">
        <v>585</v>
      </c>
      <c r="I65" s="76" t="s">
        <v>587</v>
      </c>
      <c r="J65" s="26" t="s">
        <v>586</v>
      </c>
      <c r="K65" s="76" t="s">
        <v>206</v>
      </c>
      <c r="L65" s="26"/>
      <c r="M65" s="26" t="s">
        <v>269</v>
      </c>
      <c r="N65" s="61">
        <v>2</v>
      </c>
      <c r="O65" s="61">
        <v>1795.5</v>
      </c>
      <c r="P65" s="75">
        <f t="shared" si="20"/>
        <v>3591</v>
      </c>
      <c r="Q65" s="59" t="s">
        <v>317</v>
      </c>
      <c r="R65" s="54" t="s">
        <v>207</v>
      </c>
      <c r="S65" s="76" t="s">
        <v>208</v>
      </c>
      <c r="T65" s="56" t="s">
        <v>22</v>
      </c>
      <c r="U65" s="76" t="s">
        <v>482</v>
      </c>
      <c r="V65" s="76" t="s">
        <v>483</v>
      </c>
      <c r="W65" s="76">
        <v>0</v>
      </c>
      <c r="X65" s="109"/>
    </row>
    <row r="66" spans="1:24" s="31" customFormat="1" ht="76.5">
      <c r="A66" s="26">
        <v>56</v>
      </c>
      <c r="B66" s="55" t="s">
        <v>21</v>
      </c>
      <c r="C66" s="76" t="s">
        <v>100</v>
      </c>
      <c r="D66" s="76" t="s">
        <v>588</v>
      </c>
      <c r="E66" s="57" t="s">
        <v>589</v>
      </c>
      <c r="F66" s="57" t="s">
        <v>590</v>
      </c>
      <c r="G66" s="57" t="s">
        <v>591</v>
      </c>
      <c r="H66" s="57" t="s">
        <v>592</v>
      </c>
      <c r="I66" s="60" t="s">
        <v>594</v>
      </c>
      <c r="J66" s="60" t="s">
        <v>593</v>
      </c>
      <c r="K66" s="76" t="s">
        <v>206</v>
      </c>
      <c r="L66" s="55"/>
      <c r="M66" s="55" t="s">
        <v>98</v>
      </c>
      <c r="N66" s="61">
        <v>40</v>
      </c>
      <c r="O66" s="61">
        <v>900</v>
      </c>
      <c r="P66" s="75">
        <f t="shared" si="20"/>
        <v>36000</v>
      </c>
      <c r="Q66" s="59" t="s">
        <v>103</v>
      </c>
      <c r="R66" s="54" t="s">
        <v>207</v>
      </c>
      <c r="S66" s="76" t="s">
        <v>208</v>
      </c>
      <c r="T66" s="56" t="s">
        <v>22</v>
      </c>
      <c r="U66" s="76" t="s">
        <v>482</v>
      </c>
      <c r="V66" s="76" t="s">
        <v>483</v>
      </c>
      <c r="W66" s="76">
        <v>0</v>
      </c>
      <c r="X66" s="110"/>
    </row>
    <row r="67" spans="1:24" s="31" customFormat="1" ht="78" customHeight="1">
      <c r="A67" s="26">
        <v>57</v>
      </c>
      <c r="B67" s="55" t="s">
        <v>21</v>
      </c>
      <c r="C67" s="76" t="s">
        <v>100</v>
      </c>
      <c r="D67" s="57" t="s">
        <v>595</v>
      </c>
      <c r="E67" s="57" t="s">
        <v>596</v>
      </c>
      <c r="F67" s="57" t="s">
        <v>597</v>
      </c>
      <c r="G67" s="57" t="s">
        <v>598</v>
      </c>
      <c r="H67" s="57" t="s">
        <v>599</v>
      </c>
      <c r="I67" s="76" t="s">
        <v>601</v>
      </c>
      <c r="J67" s="76" t="s">
        <v>600</v>
      </c>
      <c r="K67" s="76" t="s">
        <v>206</v>
      </c>
      <c r="L67" s="76"/>
      <c r="M67" s="76" t="s">
        <v>98</v>
      </c>
      <c r="N67" s="75">
        <v>30</v>
      </c>
      <c r="O67" s="75">
        <v>5765</v>
      </c>
      <c r="P67" s="75">
        <f t="shared" ref="P67:P68" si="22">O67*N67</f>
        <v>172950</v>
      </c>
      <c r="Q67" s="59" t="s">
        <v>317</v>
      </c>
      <c r="R67" s="54" t="s">
        <v>207</v>
      </c>
      <c r="S67" s="76" t="s">
        <v>208</v>
      </c>
      <c r="T67" s="56" t="s">
        <v>22</v>
      </c>
      <c r="U67" s="76" t="s">
        <v>482</v>
      </c>
      <c r="V67" s="76" t="s">
        <v>483</v>
      </c>
      <c r="W67" s="76">
        <v>0</v>
      </c>
      <c r="X67" s="76"/>
    </row>
    <row r="68" spans="1:24" s="31" customFormat="1" ht="76.5">
      <c r="A68" s="26">
        <v>58</v>
      </c>
      <c r="B68" s="55" t="s">
        <v>21</v>
      </c>
      <c r="C68" s="76" t="s">
        <v>100</v>
      </c>
      <c r="D68" s="57" t="s">
        <v>602</v>
      </c>
      <c r="E68" s="57" t="s">
        <v>603</v>
      </c>
      <c r="F68" s="57" t="s">
        <v>603</v>
      </c>
      <c r="G68" s="57" t="s">
        <v>574</v>
      </c>
      <c r="H68" s="57" t="s">
        <v>575</v>
      </c>
      <c r="I68" s="76" t="s">
        <v>605</v>
      </c>
      <c r="J68" s="76" t="s">
        <v>604</v>
      </c>
      <c r="K68" s="76" t="s">
        <v>206</v>
      </c>
      <c r="L68" s="76"/>
      <c r="M68" s="76" t="s">
        <v>98</v>
      </c>
      <c r="N68" s="75">
        <v>30</v>
      </c>
      <c r="O68" s="75">
        <v>790</v>
      </c>
      <c r="P68" s="75">
        <f t="shared" si="22"/>
        <v>23700</v>
      </c>
      <c r="Q68" s="59" t="s">
        <v>317</v>
      </c>
      <c r="R68" s="54" t="s">
        <v>207</v>
      </c>
      <c r="S68" s="76" t="s">
        <v>208</v>
      </c>
      <c r="T68" s="76" t="s">
        <v>22</v>
      </c>
      <c r="U68" s="76" t="s">
        <v>482</v>
      </c>
      <c r="V68" s="76" t="s">
        <v>483</v>
      </c>
      <c r="W68" s="76">
        <v>0</v>
      </c>
      <c r="X68" s="76"/>
    </row>
    <row r="69" spans="1:24" s="31" customFormat="1" ht="70.5" customHeight="1">
      <c r="A69" s="26">
        <v>59</v>
      </c>
      <c r="B69" s="55" t="s">
        <v>21</v>
      </c>
      <c r="C69" s="76" t="s">
        <v>100</v>
      </c>
      <c r="D69" s="82" t="s">
        <v>606</v>
      </c>
      <c r="E69" s="82" t="s">
        <v>607</v>
      </c>
      <c r="F69" s="82" t="s">
        <v>608</v>
      </c>
      <c r="G69" s="82" t="s">
        <v>609</v>
      </c>
      <c r="H69" s="82" t="s">
        <v>610</v>
      </c>
      <c r="I69" s="82" t="s">
        <v>611</v>
      </c>
      <c r="J69" s="82" t="s">
        <v>612</v>
      </c>
      <c r="K69" s="82" t="s">
        <v>206</v>
      </c>
      <c r="L69" s="82"/>
      <c r="M69" s="82" t="s">
        <v>98</v>
      </c>
      <c r="N69" s="115">
        <v>100</v>
      </c>
      <c r="O69" s="84">
        <v>1760</v>
      </c>
      <c r="P69" s="84">
        <f>N69*O69</f>
        <v>176000</v>
      </c>
      <c r="Q69" s="59" t="s">
        <v>317</v>
      </c>
      <c r="R69" s="118" t="s">
        <v>207</v>
      </c>
      <c r="S69" s="82" t="s">
        <v>208</v>
      </c>
      <c r="T69" s="82" t="s">
        <v>22</v>
      </c>
      <c r="U69" s="76" t="s">
        <v>482</v>
      </c>
      <c r="V69" s="76" t="s">
        <v>483</v>
      </c>
      <c r="W69" s="82">
        <v>0</v>
      </c>
      <c r="X69" s="86"/>
    </row>
    <row r="70" spans="1:24" s="31" customFormat="1" ht="76.5">
      <c r="A70" s="26">
        <v>60</v>
      </c>
      <c r="B70" s="55" t="s">
        <v>21</v>
      </c>
      <c r="C70" s="76" t="s">
        <v>36</v>
      </c>
      <c r="D70" s="76" t="s">
        <v>613</v>
      </c>
      <c r="E70" s="57" t="s">
        <v>614</v>
      </c>
      <c r="F70" s="57" t="s">
        <v>615</v>
      </c>
      <c r="G70" s="57" t="s">
        <v>616</v>
      </c>
      <c r="H70" s="57" t="s">
        <v>281</v>
      </c>
      <c r="I70" s="57" t="s">
        <v>617</v>
      </c>
      <c r="J70" s="57" t="s">
        <v>618</v>
      </c>
      <c r="K70" s="76" t="s">
        <v>206</v>
      </c>
      <c r="L70" s="76"/>
      <c r="M70" s="76" t="s">
        <v>98</v>
      </c>
      <c r="N70" s="75">
        <v>1000</v>
      </c>
      <c r="O70" s="75">
        <v>63</v>
      </c>
      <c r="P70" s="84">
        <f>N70*O70</f>
        <v>63000</v>
      </c>
      <c r="Q70" s="59" t="s">
        <v>379</v>
      </c>
      <c r="R70" s="54" t="s">
        <v>207</v>
      </c>
      <c r="S70" s="76" t="s">
        <v>208</v>
      </c>
      <c r="T70" s="62" t="s">
        <v>22</v>
      </c>
      <c r="U70" s="76" t="s">
        <v>482</v>
      </c>
      <c r="V70" s="76" t="s">
        <v>483</v>
      </c>
      <c r="W70" s="76">
        <v>0</v>
      </c>
      <c r="X70" s="75" t="s">
        <v>440</v>
      </c>
    </row>
    <row r="71" spans="1:24" s="31" customFormat="1" ht="76.5">
      <c r="A71" s="82">
        <v>61</v>
      </c>
      <c r="B71" s="55" t="s">
        <v>21</v>
      </c>
      <c r="C71" s="76" t="s">
        <v>36</v>
      </c>
      <c r="D71" s="76" t="s">
        <v>619</v>
      </c>
      <c r="E71" s="57" t="s">
        <v>620</v>
      </c>
      <c r="F71" s="57" t="s">
        <v>621</v>
      </c>
      <c r="G71" s="57" t="s">
        <v>622</v>
      </c>
      <c r="H71" s="57" t="s">
        <v>623</v>
      </c>
      <c r="I71" s="57" t="s">
        <v>625</v>
      </c>
      <c r="J71" s="57" t="s">
        <v>624</v>
      </c>
      <c r="K71" s="76" t="s">
        <v>206</v>
      </c>
      <c r="L71" s="76"/>
      <c r="M71" s="76" t="s">
        <v>98</v>
      </c>
      <c r="N71" s="75">
        <v>300</v>
      </c>
      <c r="O71" s="75">
        <v>300</v>
      </c>
      <c r="P71" s="84">
        <f t="shared" ref="P71:P75" si="23">N71*O71</f>
        <v>90000</v>
      </c>
      <c r="Q71" s="59" t="s">
        <v>317</v>
      </c>
      <c r="R71" s="54" t="s">
        <v>207</v>
      </c>
      <c r="S71" s="76" t="s">
        <v>208</v>
      </c>
      <c r="T71" s="62" t="s">
        <v>22</v>
      </c>
      <c r="U71" s="76" t="s">
        <v>482</v>
      </c>
      <c r="V71" s="76" t="s">
        <v>483</v>
      </c>
      <c r="W71" s="76">
        <v>0</v>
      </c>
      <c r="X71" s="75"/>
    </row>
    <row r="72" spans="1:24" s="31" customFormat="1" ht="76.5">
      <c r="A72" s="82">
        <v>62</v>
      </c>
      <c r="B72" s="55" t="s">
        <v>21</v>
      </c>
      <c r="C72" s="82" t="s">
        <v>100</v>
      </c>
      <c r="D72" s="82" t="s">
        <v>626</v>
      </c>
      <c r="E72" s="83" t="s">
        <v>627</v>
      </c>
      <c r="F72" s="83" t="s">
        <v>628</v>
      </c>
      <c r="G72" s="83" t="s">
        <v>629</v>
      </c>
      <c r="H72" s="83" t="s">
        <v>630</v>
      </c>
      <c r="I72" s="83" t="s">
        <v>631</v>
      </c>
      <c r="J72" s="83" t="s">
        <v>632</v>
      </c>
      <c r="K72" s="82" t="s">
        <v>206</v>
      </c>
      <c r="L72" s="82"/>
      <c r="M72" s="83" t="s">
        <v>633</v>
      </c>
      <c r="N72" s="75">
        <v>1000</v>
      </c>
      <c r="O72" s="75">
        <v>220</v>
      </c>
      <c r="P72" s="84">
        <f t="shared" si="23"/>
        <v>220000</v>
      </c>
      <c r="Q72" s="59" t="s">
        <v>25</v>
      </c>
      <c r="R72" s="54" t="s">
        <v>207</v>
      </c>
      <c r="S72" s="76" t="s">
        <v>208</v>
      </c>
      <c r="T72" s="62" t="s">
        <v>22</v>
      </c>
      <c r="U72" s="76" t="s">
        <v>482</v>
      </c>
      <c r="V72" s="76" t="s">
        <v>483</v>
      </c>
      <c r="W72" s="76">
        <v>0</v>
      </c>
      <c r="X72" s="75"/>
    </row>
    <row r="73" spans="1:24" s="31" customFormat="1" ht="76.5">
      <c r="A73" s="82">
        <v>63</v>
      </c>
      <c r="B73" s="55" t="s">
        <v>21</v>
      </c>
      <c r="C73" s="76" t="s">
        <v>36</v>
      </c>
      <c r="D73" s="76" t="s">
        <v>413</v>
      </c>
      <c r="E73" s="57" t="s">
        <v>634</v>
      </c>
      <c r="F73" s="57" t="s">
        <v>414</v>
      </c>
      <c r="G73" s="57" t="s">
        <v>635</v>
      </c>
      <c r="H73" s="57" t="s">
        <v>415</v>
      </c>
      <c r="I73" s="57" t="s">
        <v>637</v>
      </c>
      <c r="J73" s="57" t="s">
        <v>636</v>
      </c>
      <c r="K73" s="76" t="s">
        <v>206</v>
      </c>
      <c r="L73" s="76"/>
      <c r="M73" s="76" t="s">
        <v>99</v>
      </c>
      <c r="N73" s="75">
        <v>10</v>
      </c>
      <c r="O73" s="75">
        <v>1090</v>
      </c>
      <c r="P73" s="84">
        <f t="shared" si="23"/>
        <v>10900</v>
      </c>
      <c r="Q73" s="59" t="s">
        <v>25</v>
      </c>
      <c r="R73" s="54" t="s">
        <v>207</v>
      </c>
      <c r="S73" s="76" t="s">
        <v>208</v>
      </c>
      <c r="T73" s="62" t="s">
        <v>22</v>
      </c>
      <c r="U73" s="76" t="s">
        <v>482</v>
      </c>
      <c r="V73" s="76" t="s">
        <v>483</v>
      </c>
      <c r="W73" s="76">
        <v>0</v>
      </c>
      <c r="X73" s="75"/>
    </row>
    <row r="74" spans="1:24" s="31" customFormat="1" ht="76.5">
      <c r="A74" s="93">
        <v>64</v>
      </c>
      <c r="B74" s="93" t="s">
        <v>21</v>
      </c>
      <c r="C74" s="93" t="s">
        <v>36</v>
      </c>
      <c r="D74" s="93" t="s">
        <v>701</v>
      </c>
      <c r="E74" s="94" t="s">
        <v>696</v>
      </c>
      <c r="F74" s="94" t="s">
        <v>696</v>
      </c>
      <c r="G74" s="94" t="s">
        <v>703</v>
      </c>
      <c r="H74" s="94" t="s">
        <v>702</v>
      </c>
      <c r="I74" s="94" t="s">
        <v>696</v>
      </c>
      <c r="J74" s="94" t="s">
        <v>696</v>
      </c>
      <c r="K74" s="93" t="s">
        <v>206</v>
      </c>
      <c r="L74" s="93"/>
      <c r="M74" s="76" t="s">
        <v>98</v>
      </c>
      <c r="N74" s="95">
        <v>50</v>
      </c>
      <c r="O74" s="95">
        <v>3200</v>
      </c>
      <c r="P74" s="84">
        <f t="shared" si="23"/>
        <v>160000</v>
      </c>
      <c r="Q74" s="59" t="s">
        <v>25</v>
      </c>
      <c r="R74" s="54" t="s">
        <v>207</v>
      </c>
      <c r="S74" s="76" t="s">
        <v>208</v>
      </c>
      <c r="T74" s="62" t="s">
        <v>22</v>
      </c>
      <c r="U74" s="76" t="s">
        <v>482</v>
      </c>
      <c r="V74" s="76" t="s">
        <v>483</v>
      </c>
      <c r="W74" s="76">
        <v>0</v>
      </c>
      <c r="X74" s="75"/>
    </row>
    <row r="75" spans="1:24" s="31" customFormat="1" ht="76.5">
      <c r="A75" s="93">
        <v>65</v>
      </c>
      <c r="B75" s="93" t="s">
        <v>21</v>
      </c>
      <c r="C75" s="93" t="s">
        <v>36</v>
      </c>
      <c r="D75" s="93" t="s">
        <v>705</v>
      </c>
      <c r="E75" s="94" t="s">
        <v>704</v>
      </c>
      <c r="F75" s="94" t="s">
        <v>704</v>
      </c>
      <c r="G75" s="94" t="s">
        <v>713</v>
      </c>
      <c r="H75" s="94" t="s">
        <v>714</v>
      </c>
      <c r="I75" s="94" t="s">
        <v>715</v>
      </c>
      <c r="J75" s="94" t="s">
        <v>697</v>
      </c>
      <c r="K75" s="93" t="s">
        <v>206</v>
      </c>
      <c r="L75" s="93"/>
      <c r="M75" s="93" t="s">
        <v>516</v>
      </c>
      <c r="N75" s="95">
        <v>50</v>
      </c>
      <c r="O75" s="95">
        <v>550</v>
      </c>
      <c r="P75" s="84">
        <f t="shared" si="23"/>
        <v>27500</v>
      </c>
      <c r="Q75" s="59" t="s">
        <v>94</v>
      </c>
      <c r="R75" s="54" t="s">
        <v>207</v>
      </c>
      <c r="S75" s="76" t="s">
        <v>208</v>
      </c>
      <c r="T75" s="62" t="s">
        <v>22</v>
      </c>
      <c r="U75" s="76" t="s">
        <v>482</v>
      </c>
      <c r="V75" s="76" t="s">
        <v>483</v>
      </c>
      <c r="W75" s="76">
        <v>0</v>
      </c>
      <c r="X75" s="75"/>
    </row>
    <row r="76" spans="1:24" s="31" customFormat="1" ht="104.25" customHeight="1">
      <c r="A76" s="93">
        <v>67</v>
      </c>
      <c r="B76" s="93" t="s">
        <v>21</v>
      </c>
      <c r="C76" s="93" t="s">
        <v>100</v>
      </c>
      <c r="D76" s="94" t="s">
        <v>638</v>
      </c>
      <c r="E76" s="94" t="s">
        <v>639</v>
      </c>
      <c r="F76" s="94" t="s">
        <v>640</v>
      </c>
      <c r="G76" s="94" t="s">
        <v>640</v>
      </c>
      <c r="H76" s="94" t="s">
        <v>641</v>
      </c>
      <c r="I76" s="94" t="s">
        <v>642</v>
      </c>
      <c r="J76" s="94" t="s">
        <v>648</v>
      </c>
      <c r="K76" s="93" t="s">
        <v>206</v>
      </c>
      <c r="L76" s="93"/>
      <c r="M76" s="93" t="s">
        <v>98</v>
      </c>
      <c r="N76" s="95">
        <v>120</v>
      </c>
      <c r="O76" s="95">
        <v>232.66</v>
      </c>
      <c r="P76" s="95">
        <f t="shared" ref="P76:P78" si="24">O76*N76</f>
        <v>27919.200000000001</v>
      </c>
      <c r="Q76" s="117" t="s">
        <v>103</v>
      </c>
      <c r="R76" s="96" t="s">
        <v>48</v>
      </c>
      <c r="S76" s="93" t="s">
        <v>95</v>
      </c>
      <c r="T76" s="97" t="s">
        <v>22</v>
      </c>
      <c r="U76" s="76" t="s">
        <v>482</v>
      </c>
      <c r="V76" s="76" t="s">
        <v>483</v>
      </c>
      <c r="W76" s="93">
        <v>0</v>
      </c>
      <c r="X76" s="98"/>
    </row>
    <row r="77" spans="1:24" s="31" customFormat="1" ht="76.5">
      <c r="A77" s="93">
        <v>68</v>
      </c>
      <c r="B77" s="93" t="s">
        <v>21</v>
      </c>
      <c r="C77" s="93" t="s">
        <v>100</v>
      </c>
      <c r="D77" s="93" t="s">
        <v>643</v>
      </c>
      <c r="E77" s="94" t="s">
        <v>639</v>
      </c>
      <c r="F77" s="94" t="s">
        <v>644</v>
      </c>
      <c r="G77" s="94" t="s">
        <v>644</v>
      </c>
      <c r="H77" s="94" t="s">
        <v>645</v>
      </c>
      <c r="I77" s="94" t="s">
        <v>646</v>
      </c>
      <c r="J77" s="94" t="s">
        <v>647</v>
      </c>
      <c r="K77" s="93" t="s">
        <v>206</v>
      </c>
      <c r="L77" s="93"/>
      <c r="M77" s="93" t="s">
        <v>98</v>
      </c>
      <c r="N77" s="95">
        <v>120</v>
      </c>
      <c r="O77" s="95">
        <v>172.08</v>
      </c>
      <c r="P77" s="95">
        <f t="shared" si="24"/>
        <v>20649.600000000002</v>
      </c>
      <c r="Q77" s="117" t="s">
        <v>103</v>
      </c>
      <c r="R77" s="96" t="s">
        <v>48</v>
      </c>
      <c r="S77" s="93" t="s">
        <v>95</v>
      </c>
      <c r="T77" s="97" t="s">
        <v>22</v>
      </c>
      <c r="U77" s="76" t="s">
        <v>482</v>
      </c>
      <c r="V77" s="76" t="s">
        <v>483</v>
      </c>
      <c r="W77" s="93">
        <v>0</v>
      </c>
      <c r="X77" s="95"/>
    </row>
    <row r="78" spans="1:24" s="31" customFormat="1" ht="83.25" customHeight="1">
      <c r="A78" s="93">
        <v>69</v>
      </c>
      <c r="B78" s="93" t="s">
        <v>21</v>
      </c>
      <c r="C78" s="93" t="s">
        <v>36</v>
      </c>
      <c r="D78" s="94" t="s">
        <v>649</v>
      </c>
      <c r="E78" s="94" t="s">
        <v>650</v>
      </c>
      <c r="F78" s="94" t="s">
        <v>650</v>
      </c>
      <c r="G78" s="94" t="s">
        <v>651</v>
      </c>
      <c r="H78" s="94" t="s">
        <v>652</v>
      </c>
      <c r="I78" s="94" t="s">
        <v>654</v>
      </c>
      <c r="J78" s="94" t="s">
        <v>654</v>
      </c>
      <c r="K78" s="93" t="s">
        <v>206</v>
      </c>
      <c r="L78" s="93"/>
      <c r="M78" s="93" t="s">
        <v>653</v>
      </c>
      <c r="N78" s="95">
        <v>500</v>
      </c>
      <c r="O78" s="95">
        <v>84</v>
      </c>
      <c r="P78" s="95">
        <f t="shared" si="24"/>
        <v>42000</v>
      </c>
      <c r="Q78" s="117" t="s">
        <v>94</v>
      </c>
      <c r="R78" s="97" t="s">
        <v>48</v>
      </c>
      <c r="S78" s="93" t="s">
        <v>95</v>
      </c>
      <c r="T78" s="93">
        <v>711210000</v>
      </c>
      <c r="U78" s="76" t="s">
        <v>482</v>
      </c>
      <c r="V78" s="76" t="s">
        <v>483</v>
      </c>
      <c r="W78" s="93">
        <v>0</v>
      </c>
      <c r="X78" s="93"/>
    </row>
    <row r="79" spans="1:24" s="31" customFormat="1" ht="83.25" customHeight="1">
      <c r="A79" s="93">
        <v>70</v>
      </c>
      <c r="B79" s="93" t="s">
        <v>21</v>
      </c>
      <c r="C79" s="93" t="s">
        <v>36</v>
      </c>
      <c r="D79" s="94" t="s">
        <v>328</v>
      </c>
      <c r="E79" s="94" t="s">
        <v>655</v>
      </c>
      <c r="F79" s="94" t="s">
        <v>291</v>
      </c>
      <c r="G79" s="94" t="s">
        <v>656</v>
      </c>
      <c r="H79" s="94" t="s">
        <v>329</v>
      </c>
      <c r="I79" s="94" t="s">
        <v>330</v>
      </c>
      <c r="J79" s="94" t="s">
        <v>331</v>
      </c>
      <c r="K79" s="93" t="s">
        <v>206</v>
      </c>
      <c r="L79" s="93"/>
      <c r="M79" s="93" t="s">
        <v>292</v>
      </c>
      <c r="N79" s="95">
        <v>610</v>
      </c>
      <c r="O79" s="95">
        <v>197.27</v>
      </c>
      <c r="P79" s="95">
        <f>O79*N79</f>
        <v>120334.70000000001</v>
      </c>
      <c r="Q79" s="117" t="s">
        <v>103</v>
      </c>
      <c r="R79" s="97" t="s">
        <v>48</v>
      </c>
      <c r="S79" s="93" t="s">
        <v>95</v>
      </c>
      <c r="T79" s="93">
        <v>711210000</v>
      </c>
      <c r="U79" s="76" t="s">
        <v>482</v>
      </c>
      <c r="V79" s="76" t="s">
        <v>483</v>
      </c>
      <c r="W79" s="93">
        <v>0</v>
      </c>
      <c r="X79" s="93"/>
    </row>
    <row r="80" spans="1:24" s="31" customFormat="1" ht="83.25" customHeight="1">
      <c r="A80" s="93">
        <v>71</v>
      </c>
      <c r="B80" s="93" t="s">
        <v>21</v>
      </c>
      <c r="C80" s="93" t="s">
        <v>36</v>
      </c>
      <c r="D80" s="94" t="s">
        <v>659</v>
      </c>
      <c r="E80" s="94" t="s">
        <v>660</v>
      </c>
      <c r="F80" s="94" t="s">
        <v>660</v>
      </c>
      <c r="G80" s="94" t="s">
        <v>661</v>
      </c>
      <c r="H80" s="94" t="s">
        <v>662</v>
      </c>
      <c r="I80" s="94" t="s">
        <v>664</v>
      </c>
      <c r="J80" s="94" t="s">
        <v>663</v>
      </c>
      <c r="K80" s="93" t="s">
        <v>206</v>
      </c>
      <c r="L80" s="93"/>
      <c r="M80" s="93" t="s">
        <v>98</v>
      </c>
      <c r="N80" s="95">
        <v>20</v>
      </c>
      <c r="O80" s="95">
        <v>10600</v>
      </c>
      <c r="P80" s="95">
        <f t="shared" ref="P80" si="25">O80*N80</f>
        <v>212000</v>
      </c>
      <c r="Q80" s="117" t="s">
        <v>317</v>
      </c>
      <c r="R80" s="97" t="s">
        <v>48</v>
      </c>
      <c r="S80" s="93" t="s">
        <v>95</v>
      </c>
      <c r="T80" s="93">
        <v>711210000</v>
      </c>
      <c r="U80" s="76" t="s">
        <v>482</v>
      </c>
      <c r="V80" s="76" t="s">
        <v>483</v>
      </c>
      <c r="W80" s="93">
        <v>0</v>
      </c>
      <c r="X80" s="93"/>
    </row>
    <row r="81" spans="1:24" s="31" customFormat="1" ht="83.25" customHeight="1">
      <c r="A81" s="93">
        <v>72</v>
      </c>
      <c r="B81" s="93" t="s">
        <v>21</v>
      </c>
      <c r="C81" s="93" t="s">
        <v>36</v>
      </c>
      <c r="D81" s="94" t="s">
        <v>665</v>
      </c>
      <c r="E81" s="94" t="s">
        <v>666</v>
      </c>
      <c r="F81" s="94" t="s">
        <v>667</v>
      </c>
      <c r="G81" s="94" t="s">
        <v>668</v>
      </c>
      <c r="H81" s="94" t="s">
        <v>669</v>
      </c>
      <c r="I81" s="94" t="s">
        <v>670</v>
      </c>
      <c r="J81" s="94" t="s">
        <v>667</v>
      </c>
      <c r="K81" s="93" t="s">
        <v>206</v>
      </c>
      <c r="L81" s="93"/>
      <c r="M81" s="93" t="s">
        <v>98</v>
      </c>
      <c r="N81" s="95">
        <v>60</v>
      </c>
      <c r="O81" s="95">
        <v>29899.999999999996</v>
      </c>
      <c r="P81" s="95">
        <f t="shared" ref="P81" si="26">O81*N81</f>
        <v>1793999.9999999998</v>
      </c>
      <c r="Q81" s="117" t="s">
        <v>317</v>
      </c>
      <c r="R81" s="97" t="s">
        <v>48</v>
      </c>
      <c r="S81" s="93" t="s">
        <v>95</v>
      </c>
      <c r="T81" s="93">
        <v>711210000</v>
      </c>
      <c r="U81" s="76" t="s">
        <v>482</v>
      </c>
      <c r="V81" s="76" t="s">
        <v>483</v>
      </c>
      <c r="W81" s="93">
        <v>0</v>
      </c>
      <c r="X81" s="93"/>
    </row>
    <row r="82" spans="1:24" s="31" customFormat="1" ht="76.5">
      <c r="A82" s="26">
        <v>73</v>
      </c>
      <c r="B82" s="55" t="s">
        <v>21</v>
      </c>
      <c r="C82" s="76" t="s">
        <v>100</v>
      </c>
      <c r="D82" s="76" t="s">
        <v>282</v>
      </c>
      <c r="E82" s="76" t="s">
        <v>287</v>
      </c>
      <c r="F82" s="76" t="s">
        <v>283</v>
      </c>
      <c r="G82" s="76" t="s">
        <v>288</v>
      </c>
      <c r="H82" s="76" t="s">
        <v>284</v>
      </c>
      <c r="I82" s="60" t="s">
        <v>289</v>
      </c>
      <c r="J82" s="76" t="s">
        <v>285</v>
      </c>
      <c r="K82" s="76" t="s">
        <v>206</v>
      </c>
      <c r="L82" s="55"/>
      <c r="M82" s="55" t="s">
        <v>98</v>
      </c>
      <c r="N82" s="61">
        <v>100</v>
      </c>
      <c r="O82" s="61">
        <v>4890</v>
      </c>
      <c r="P82" s="1">
        <f t="shared" ref="P82" si="27">O82*N82</f>
        <v>489000</v>
      </c>
      <c r="Q82" s="59" t="s">
        <v>25</v>
      </c>
      <c r="R82" s="54" t="s">
        <v>207</v>
      </c>
      <c r="S82" s="76" t="s">
        <v>208</v>
      </c>
      <c r="T82" s="56" t="s">
        <v>22</v>
      </c>
      <c r="U82" s="76" t="s">
        <v>482</v>
      </c>
      <c r="V82" s="76" t="s">
        <v>483</v>
      </c>
      <c r="W82" s="76">
        <v>0</v>
      </c>
      <c r="X82" s="66"/>
    </row>
    <row r="83" spans="1:24" s="31" customFormat="1" ht="76.5">
      <c r="A83" s="26">
        <v>76</v>
      </c>
      <c r="B83" s="55" t="s">
        <v>21</v>
      </c>
      <c r="C83" s="76" t="s">
        <v>100</v>
      </c>
      <c r="D83" s="57" t="s">
        <v>293</v>
      </c>
      <c r="E83" s="57" t="s">
        <v>294</v>
      </c>
      <c r="F83" s="57" t="s">
        <v>295</v>
      </c>
      <c r="G83" s="57" t="s">
        <v>296</v>
      </c>
      <c r="H83" s="57" t="s">
        <v>297</v>
      </c>
      <c r="I83" s="57" t="s">
        <v>658</v>
      </c>
      <c r="J83" s="57" t="s">
        <v>657</v>
      </c>
      <c r="K83" s="76" t="s">
        <v>206</v>
      </c>
      <c r="L83" s="76"/>
      <c r="M83" s="76" t="s">
        <v>66</v>
      </c>
      <c r="N83" s="75">
        <v>40</v>
      </c>
      <c r="O83" s="75">
        <v>4690</v>
      </c>
      <c r="P83" s="75">
        <f t="shared" ref="P83:P89" si="28">O83*N83</f>
        <v>187600</v>
      </c>
      <c r="Q83" s="59" t="s">
        <v>97</v>
      </c>
      <c r="R83" s="54" t="s">
        <v>48</v>
      </c>
      <c r="S83" s="76" t="s">
        <v>95</v>
      </c>
      <c r="T83" s="62" t="s">
        <v>22</v>
      </c>
      <c r="U83" s="76" t="s">
        <v>482</v>
      </c>
      <c r="V83" s="76" t="s">
        <v>483</v>
      </c>
      <c r="W83" s="76">
        <v>0</v>
      </c>
      <c r="X83" s="67"/>
    </row>
    <row r="84" spans="1:24" ht="76.5">
      <c r="A84" s="26">
        <v>77</v>
      </c>
      <c r="B84" s="55" t="s">
        <v>21</v>
      </c>
      <c r="C84" s="76" t="s">
        <v>36</v>
      </c>
      <c r="D84" s="64" t="s">
        <v>246</v>
      </c>
      <c r="E84" s="64" t="s">
        <v>185</v>
      </c>
      <c r="F84" s="64" t="s">
        <v>186</v>
      </c>
      <c r="G84" s="64" t="s">
        <v>187</v>
      </c>
      <c r="H84" s="64" t="s">
        <v>188</v>
      </c>
      <c r="I84" s="57" t="s">
        <v>105</v>
      </c>
      <c r="J84" s="57" t="s">
        <v>104</v>
      </c>
      <c r="K84" s="76" t="s">
        <v>206</v>
      </c>
      <c r="L84" s="76"/>
      <c r="M84" s="76" t="s">
        <v>66</v>
      </c>
      <c r="N84" s="75">
        <v>8</v>
      </c>
      <c r="O84" s="75">
        <v>13488</v>
      </c>
      <c r="P84" s="75">
        <f t="shared" si="28"/>
        <v>107904</v>
      </c>
      <c r="Q84" s="59" t="s">
        <v>97</v>
      </c>
      <c r="R84" s="76" t="s">
        <v>223</v>
      </c>
      <c r="S84" s="76" t="s">
        <v>224</v>
      </c>
      <c r="T84" s="76" t="s">
        <v>22</v>
      </c>
      <c r="U84" s="76" t="s">
        <v>482</v>
      </c>
      <c r="V84" s="76" t="s">
        <v>483</v>
      </c>
      <c r="W84" s="76">
        <v>0</v>
      </c>
      <c r="X84" s="62"/>
    </row>
    <row r="85" spans="1:24" ht="76.5">
      <c r="A85" s="28">
        <v>78</v>
      </c>
      <c r="B85" s="82" t="s">
        <v>21</v>
      </c>
      <c r="C85" s="82" t="s">
        <v>100</v>
      </c>
      <c r="D85" s="83" t="s">
        <v>408</v>
      </c>
      <c r="E85" s="83" t="s">
        <v>407</v>
      </c>
      <c r="F85" s="83" t="s">
        <v>351</v>
      </c>
      <c r="G85" s="83" t="s">
        <v>358</v>
      </c>
      <c r="H85" s="83" t="s">
        <v>352</v>
      </c>
      <c r="I85" s="83" t="s">
        <v>410</v>
      </c>
      <c r="J85" s="83" t="s">
        <v>409</v>
      </c>
      <c r="K85" s="82" t="s">
        <v>205</v>
      </c>
      <c r="L85" s="82"/>
      <c r="M85" s="82" t="s">
        <v>66</v>
      </c>
      <c r="N85" s="84">
        <v>2</v>
      </c>
      <c r="O85" s="84">
        <v>1270007.1399999999</v>
      </c>
      <c r="P85" s="75">
        <f t="shared" si="28"/>
        <v>2540014.2799999998</v>
      </c>
      <c r="Q85" s="116" t="s">
        <v>103</v>
      </c>
      <c r="R85" s="118" t="s">
        <v>345</v>
      </c>
      <c r="S85" s="82" t="s">
        <v>346</v>
      </c>
      <c r="T85" s="85" t="s">
        <v>22</v>
      </c>
      <c r="U85" s="76" t="s">
        <v>482</v>
      </c>
      <c r="V85" s="76" t="s">
        <v>483</v>
      </c>
      <c r="W85" s="82">
        <v>0</v>
      </c>
      <c r="X85" s="86"/>
    </row>
    <row r="86" spans="1:24" ht="76.5">
      <c r="A86" s="93">
        <v>79</v>
      </c>
      <c r="B86" s="76" t="s">
        <v>91</v>
      </c>
      <c r="C86" s="76" t="s">
        <v>100</v>
      </c>
      <c r="D86" s="64" t="s">
        <v>723</v>
      </c>
      <c r="E86" s="64" t="s">
        <v>724</v>
      </c>
      <c r="F86" s="64" t="s">
        <v>725</v>
      </c>
      <c r="G86" s="57" t="s">
        <v>726</v>
      </c>
      <c r="H86" s="76" t="s">
        <v>727</v>
      </c>
      <c r="I86" s="57" t="s">
        <v>343</v>
      </c>
      <c r="J86" s="57" t="s">
        <v>344</v>
      </c>
      <c r="K86" s="76" t="s">
        <v>205</v>
      </c>
      <c r="L86" s="76"/>
      <c r="M86" s="76" t="s">
        <v>66</v>
      </c>
      <c r="N86" s="75">
        <v>56</v>
      </c>
      <c r="O86" s="75">
        <v>531964.29</v>
      </c>
      <c r="P86" s="75">
        <f t="shared" si="28"/>
        <v>29790000.240000002</v>
      </c>
      <c r="Q86" s="95" t="s">
        <v>25</v>
      </c>
      <c r="R86" s="54" t="s">
        <v>345</v>
      </c>
      <c r="S86" s="76" t="s">
        <v>346</v>
      </c>
      <c r="T86" s="62" t="s">
        <v>22</v>
      </c>
      <c r="U86" s="76" t="s">
        <v>482</v>
      </c>
      <c r="V86" s="76" t="s">
        <v>483</v>
      </c>
      <c r="W86" s="76">
        <v>0</v>
      </c>
      <c r="X86" s="62"/>
    </row>
    <row r="87" spans="1:24" ht="76.5">
      <c r="A87" s="93">
        <v>80</v>
      </c>
      <c r="B87" s="76" t="s">
        <v>91</v>
      </c>
      <c r="C87" s="76" t="s">
        <v>100</v>
      </c>
      <c r="D87" s="64" t="s">
        <v>730</v>
      </c>
      <c r="E87" s="64" t="s">
        <v>731</v>
      </c>
      <c r="F87" s="64" t="s">
        <v>731</v>
      </c>
      <c r="G87" s="57" t="s">
        <v>732</v>
      </c>
      <c r="H87" s="76" t="s">
        <v>733</v>
      </c>
      <c r="I87" s="57" t="s">
        <v>689</v>
      </c>
      <c r="J87" s="57" t="s">
        <v>689</v>
      </c>
      <c r="K87" s="82" t="s">
        <v>205</v>
      </c>
      <c r="L87" s="76"/>
      <c r="M87" s="76" t="s">
        <v>66</v>
      </c>
      <c r="N87" s="75">
        <v>6</v>
      </c>
      <c r="O87" s="75">
        <v>399990</v>
      </c>
      <c r="P87" s="75">
        <f t="shared" si="28"/>
        <v>2399940</v>
      </c>
      <c r="Q87" s="95" t="s">
        <v>25</v>
      </c>
      <c r="R87" s="54" t="s">
        <v>345</v>
      </c>
      <c r="S87" s="76" t="s">
        <v>346</v>
      </c>
      <c r="T87" s="62" t="s">
        <v>22</v>
      </c>
      <c r="U87" s="76" t="s">
        <v>482</v>
      </c>
      <c r="V87" s="76" t="s">
        <v>483</v>
      </c>
      <c r="W87" s="76">
        <v>0</v>
      </c>
      <c r="X87" s="62"/>
    </row>
    <row r="88" spans="1:24" ht="76.5">
      <c r="A88" s="93">
        <v>81</v>
      </c>
      <c r="B88" s="93" t="s">
        <v>21</v>
      </c>
      <c r="C88" s="93" t="s">
        <v>100</v>
      </c>
      <c r="D88" s="103" t="s">
        <v>690</v>
      </c>
      <c r="E88" s="94" t="s">
        <v>691</v>
      </c>
      <c r="F88" s="94" t="s">
        <v>691</v>
      </c>
      <c r="G88" s="94" t="s">
        <v>692</v>
      </c>
      <c r="H88" s="94" t="s">
        <v>693</v>
      </c>
      <c r="I88" s="94" t="s">
        <v>695</v>
      </c>
      <c r="J88" s="94" t="s">
        <v>694</v>
      </c>
      <c r="K88" s="82" t="s">
        <v>205</v>
      </c>
      <c r="L88" s="93"/>
      <c r="M88" s="93" t="s">
        <v>66</v>
      </c>
      <c r="N88" s="95">
        <v>1</v>
      </c>
      <c r="O88" s="95">
        <v>16386179.460000001</v>
      </c>
      <c r="P88" s="95">
        <f t="shared" si="28"/>
        <v>16386179.460000001</v>
      </c>
      <c r="Q88" s="117" t="s">
        <v>97</v>
      </c>
      <c r="R88" s="96" t="s">
        <v>753</v>
      </c>
      <c r="S88" s="93" t="s">
        <v>752</v>
      </c>
      <c r="T88" s="93" t="s">
        <v>22</v>
      </c>
      <c r="U88" s="76" t="s">
        <v>482</v>
      </c>
      <c r="V88" s="76" t="s">
        <v>483</v>
      </c>
      <c r="W88" s="93">
        <v>0</v>
      </c>
      <c r="X88" s="97"/>
    </row>
    <row r="89" spans="1:24" ht="64.5" customHeight="1">
      <c r="A89" s="93">
        <v>82</v>
      </c>
      <c r="B89" s="93" t="s">
        <v>21</v>
      </c>
      <c r="C89" s="93" t="s">
        <v>100</v>
      </c>
      <c r="D89" s="103" t="s">
        <v>719</v>
      </c>
      <c r="E89" s="94" t="s">
        <v>718</v>
      </c>
      <c r="F89" s="94" t="s">
        <v>720</v>
      </c>
      <c r="G89" s="94" t="s">
        <v>721</v>
      </c>
      <c r="H89" s="94" t="s">
        <v>722</v>
      </c>
      <c r="I89" s="94" t="s">
        <v>717</v>
      </c>
      <c r="J89" s="94" t="s">
        <v>716</v>
      </c>
      <c r="K89" s="76" t="s">
        <v>206</v>
      </c>
      <c r="L89" s="93"/>
      <c r="M89" s="93" t="s">
        <v>66</v>
      </c>
      <c r="N89" s="95">
        <v>5</v>
      </c>
      <c r="O89" s="95">
        <v>56238</v>
      </c>
      <c r="P89" s="95">
        <f t="shared" si="28"/>
        <v>281190</v>
      </c>
      <c r="Q89" s="117" t="s">
        <v>379</v>
      </c>
      <c r="R89" s="54" t="s">
        <v>207</v>
      </c>
      <c r="S89" s="76" t="s">
        <v>208</v>
      </c>
      <c r="T89" s="93" t="s">
        <v>22</v>
      </c>
      <c r="U89" s="76" t="s">
        <v>482</v>
      </c>
      <c r="V89" s="76" t="s">
        <v>483</v>
      </c>
      <c r="W89" s="93">
        <v>0</v>
      </c>
      <c r="X89" s="97"/>
    </row>
    <row r="90" spans="1:24" s="88" customFormat="1" ht="38.25">
      <c r="A90" s="26">
        <v>83</v>
      </c>
      <c r="B90" s="55" t="s">
        <v>21</v>
      </c>
      <c r="C90" s="76" t="s">
        <v>23</v>
      </c>
      <c r="D90" s="76" t="s">
        <v>305</v>
      </c>
      <c r="E90" s="76" t="s">
        <v>306</v>
      </c>
      <c r="F90" s="76" t="s">
        <v>307</v>
      </c>
      <c r="G90" s="76" t="s">
        <v>306</v>
      </c>
      <c r="H90" s="76" t="s">
        <v>307</v>
      </c>
      <c r="I90" s="76" t="s">
        <v>308</v>
      </c>
      <c r="J90" s="76" t="s">
        <v>309</v>
      </c>
      <c r="K90" s="76" t="s">
        <v>205</v>
      </c>
      <c r="L90" s="76" t="s">
        <v>220</v>
      </c>
      <c r="M90" s="76" t="s">
        <v>24</v>
      </c>
      <c r="N90" s="75">
        <v>1</v>
      </c>
      <c r="O90" s="75">
        <v>2800000</v>
      </c>
      <c r="P90" s="75">
        <f t="shared" ref="P90:P105" si="29">O90*N90</f>
        <v>2800000</v>
      </c>
      <c r="Q90" s="75" t="s">
        <v>25</v>
      </c>
      <c r="R90" s="76" t="s">
        <v>478</v>
      </c>
      <c r="S90" s="76" t="s">
        <v>479</v>
      </c>
      <c r="T90" s="62" t="s">
        <v>22</v>
      </c>
      <c r="U90" s="76" t="s">
        <v>482</v>
      </c>
      <c r="V90" s="76" t="s">
        <v>483</v>
      </c>
      <c r="W90" s="76">
        <v>0</v>
      </c>
      <c r="X90" s="62"/>
    </row>
    <row r="91" spans="1:24" s="88" customFormat="1" ht="38.25">
      <c r="A91" s="26">
        <v>84</v>
      </c>
      <c r="B91" s="55" t="s">
        <v>21</v>
      </c>
      <c r="C91" s="76" t="s">
        <v>23</v>
      </c>
      <c r="D91" s="76" t="s">
        <v>305</v>
      </c>
      <c r="E91" s="76" t="s">
        <v>310</v>
      </c>
      <c r="F91" s="76" t="s">
        <v>311</v>
      </c>
      <c r="G91" s="76" t="s">
        <v>306</v>
      </c>
      <c r="H91" s="76" t="s">
        <v>307</v>
      </c>
      <c r="I91" s="76" t="s">
        <v>308</v>
      </c>
      <c r="J91" s="76" t="s">
        <v>309</v>
      </c>
      <c r="K91" s="76" t="s">
        <v>205</v>
      </c>
      <c r="L91" s="76"/>
      <c r="M91" s="76" t="s">
        <v>24</v>
      </c>
      <c r="N91" s="75">
        <v>1</v>
      </c>
      <c r="O91" s="75">
        <v>14000000</v>
      </c>
      <c r="P91" s="75">
        <f t="shared" si="29"/>
        <v>14000000</v>
      </c>
      <c r="Q91" s="75" t="s">
        <v>25</v>
      </c>
      <c r="R91" s="76" t="s">
        <v>477</v>
      </c>
      <c r="S91" s="76" t="s">
        <v>476</v>
      </c>
      <c r="T91" s="62" t="s">
        <v>22</v>
      </c>
      <c r="U91" s="76" t="s">
        <v>482</v>
      </c>
      <c r="V91" s="76" t="s">
        <v>483</v>
      </c>
      <c r="W91" s="76">
        <v>0</v>
      </c>
      <c r="X91" s="62"/>
    </row>
    <row r="92" spans="1:24" s="88" customFormat="1" ht="38.25">
      <c r="A92" s="26">
        <v>85</v>
      </c>
      <c r="B92" s="55" t="s">
        <v>21</v>
      </c>
      <c r="C92" s="76" t="s">
        <v>23</v>
      </c>
      <c r="D92" s="76" t="s">
        <v>298</v>
      </c>
      <c r="E92" s="76" t="s">
        <v>299</v>
      </c>
      <c r="F92" s="76" t="s">
        <v>300</v>
      </c>
      <c r="G92" s="76" t="s">
        <v>299</v>
      </c>
      <c r="H92" s="76" t="s">
        <v>300</v>
      </c>
      <c r="I92" s="76" t="s">
        <v>301</v>
      </c>
      <c r="J92" s="76" t="s">
        <v>302</v>
      </c>
      <c r="K92" s="57" t="s">
        <v>205</v>
      </c>
      <c r="L92" s="76" t="s">
        <v>220</v>
      </c>
      <c r="M92" s="76" t="s">
        <v>24</v>
      </c>
      <c r="N92" s="75">
        <v>1</v>
      </c>
      <c r="O92" s="75">
        <v>2341768.41</v>
      </c>
      <c r="P92" s="75">
        <f t="shared" si="29"/>
        <v>2341768.41</v>
      </c>
      <c r="Q92" s="75" t="s">
        <v>25</v>
      </c>
      <c r="R92" s="76" t="s">
        <v>478</v>
      </c>
      <c r="S92" s="76" t="s">
        <v>479</v>
      </c>
      <c r="T92" s="62" t="s">
        <v>22</v>
      </c>
      <c r="U92" s="76" t="s">
        <v>482</v>
      </c>
      <c r="V92" s="76" t="s">
        <v>483</v>
      </c>
      <c r="W92" s="76">
        <v>0</v>
      </c>
      <c r="X92" s="69"/>
    </row>
    <row r="93" spans="1:24" s="88" customFormat="1" ht="51">
      <c r="A93" s="26">
        <v>86</v>
      </c>
      <c r="B93" s="55" t="s">
        <v>21</v>
      </c>
      <c r="C93" s="76" t="s">
        <v>23</v>
      </c>
      <c r="D93" s="76" t="s">
        <v>298</v>
      </c>
      <c r="E93" s="76" t="s">
        <v>303</v>
      </c>
      <c r="F93" s="76" t="s">
        <v>304</v>
      </c>
      <c r="G93" s="76" t="s">
        <v>303</v>
      </c>
      <c r="H93" s="76" t="s">
        <v>304</v>
      </c>
      <c r="I93" s="76" t="s">
        <v>301</v>
      </c>
      <c r="J93" s="76" t="s">
        <v>302</v>
      </c>
      <c r="K93" s="57" t="s">
        <v>205</v>
      </c>
      <c r="L93" s="76"/>
      <c r="M93" s="76" t="s">
        <v>24</v>
      </c>
      <c r="N93" s="75">
        <v>1</v>
      </c>
      <c r="O93" s="75">
        <v>6619553.5700000003</v>
      </c>
      <c r="P93" s="75">
        <f t="shared" si="29"/>
        <v>6619553.5700000003</v>
      </c>
      <c r="Q93" s="75" t="s">
        <v>25</v>
      </c>
      <c r="R93" s="76" t="s">
        <v>477</v>
      </c>
      <c r="S93" s="76" t="s">
        <v>476</v>
      </c>
      <c r="T93" s="62" t="s">
        <v>22</v>
      </c>
      <c r="U93" s="76" t="s">
        <v>482</v>
      </c>
      <c r="V93" s="76" t="s">
        <v>483</v>
      </c>
      <c r="W93" s="76">
        <v>0</v>
      </c>
      <c r="X93" s="69"/>
    </row>
    <row r="94" spans="1:24" s="88" customFormat="1" ht="64.5" customHeight="1">
      <c r="A94" s="26">
        <v>87</v>
      </c>
      <c r="B94" s="55" t="s">
        <v>21</v>
      </c>
      <c r="C94" s="76" t="s">
        <v>23</v>
      </c>
      <c r="D94" s="76" t="s">
        <v>69</v>
      </c>
      <c r="E94" s="76" t="s">
        <v>154</v>
      </c>
      <c r="F94" s="76" t="s">
        <v>63</v>
      </c>
      <c r="G94" s="76" t="s">
        <v>155</v>
      </c>
      <c r="H94" s="76" t="s">
        <v>156</v>
      </c>
      <c r="I94" s="76" t="s">
        <v>107</v>
      </c>
      <c r="J94" s="76" t="s">
        <v>63</v>
      </c>
      <c r="K94" s="76" t="s">
        <v>205</v>
      </c>
      <c r="L94" s="76" t="s">
        <v>220</v>
      </c>
      <c r="M94" s="76" t="s">
        <v>24</v>
      </c>
      <c r="N94" s="75">
        <v>1</v>
      </c>
      <c r="O94" s="75">
        <v>1424718.5199999998</v>
      </c>
      <c r="P94" s="79">
        <f t="shared" si="29"/>
        <v>1424718.5199999998</v>
      </c>
      <c r="Q94" s="75" t="s">
        <v>25</v>
      </c>
      <c r="R94" s="76" t="s">
        <v>478</v>
      </c>
      <c r="S94" s="76" t="s">
        <v>479</v>
      </c>
      <c r="T94" s="62" t="s">
        <v>22</v>
      </c>
      <c r="U94" s="76" t="s">
        <v>482</v>
      </c>
      <c r="V94" s="76" t="s">
        <v>483</v>
      </c>
      <c r="W94" s="76">
        <v>0</v>
      </c>
      <c r="X94" s="69"/>
    </row>
    <row r="95" spans="1:24" s="90" customFormat="1" ht="63.75">
      <c r="A95" s="26">
        <v>88</v>
      </c>
      <c r="B95" s="76" t="s">
        <v>91</v>
      </c>
      <c r="C95" s="76" t="s">
        <v>23</v>
      </c>
      <c r="D95" s="76" t="s">
        <v>69</v>
      </c>
      <c r="E95" s="76" t="s">
        <v>154</v>
      </c>
      <c r="F95" s="76" t="s">
        <v>63</v>
      </c>
      <c r="G95" s="76" t="s">
        <v>248</v>
      </c>
      <c r="H95" s="76" t="s">
        <v>247</v>
      </c>
      <c r="I95" s="76" t="s">
        <v>107</v>
      </c>
      <c r="J95" s="76" t="s">
        <v>63</v>
      </c>
      <c r="K95" s="76" t="s">
        <v>744</v>
      </c>
      <c r="L95" s="76"/>
      <c r="M95" s="76" t="s">
        <v>24</v>
      </c>
      <c r="N95" s="75">
        <v>1</v>
      </c>
      <c r="O95" s="75">
        <v>3848732.89</v>
      </c>
      <c r="P95" s="75">
        <f t="shared" si="29"/>
        <v>3848732.89</v>
      </c>
      <c r="Q95" s="75" t="s">
        <v>25</v>
      </c>
      <c r="R95" s="76" t="s">
        <v>477</v>
      </c>
      <c r="S95" s="76" t="s">
        <v>476</v>
      </c>
      <c r="T95" s="62" t="s">
        <v>22</v>
      </c>
      <c r="U95" s="76" t="s">
        <v>482</v>
      </c>
      <c r="V95" s="76" t="s">
        <v>483</v>
      </c>
      <c r="W95" s="76">
        <v>0</v>
      </c>
      <c r="X95" s="69"/>
    </row>
    <row r="96" spans="1:24" s="88" customFormat="1" ht="51">
      <c r="A96" s="26">
        <v>89</v>
      </c>
      <c r="B96" s="76" t="s">
        <v>21</v>
      </c>
      <c r="C96" s="76" t="s">
        <v>23</v>
      </c>
      <c r="D96" s="76" t="s">
        <v>70</v>
      </c>
      <c r="E96" s="57" t="s">
        <v>109</v>
      </c>
      <c r="F96" s="57" t="s">
        <v>108</v>
      </c>
      <c r="G96" s="76" t="s">
        <v>157</v>
      </c>
      <c r="H96" s="76" t="s">
        <v>158</v>
      </c>
      <c r="I96" s="76" t="s">
        <v>157</v>
      </c>
      <c r="J96" s="76" t="s">
        <v>158</v>
      </c>
      <c r="K96" s="76" t="s">
        <v>205</v>
      </c>
      <c r="L96" s="76" t="s">
        <v>220</v>
      </c>
      <c r="M96" s="76" t="s">
        <v>24</v>
      </c>
      <c r="N96" s="75">
        <v>1</v>
      </c>
      <c r="O96" s="75">
        <v>2403615.75</v>
      </c>
      <c r="P96" s="75">
        <f t="shared" si="29"/>
        <v>2403615.75</v>
      </c>
      <c r="Q96" s="75" t="s">
        <v>25</v>
      </c>
      <c r="R96" s="76" t="s">
        <v>478</v>
      </c>
      <c r="S96" s="76" t="s">
        <v>479</v>
      </c>
      <c r="T96" s="62" t="s">
        <v>22</v>
      </c>
      <c r="U96" s="76" t="s">
        <v>482</v>
      </c>
      <c r="V96" s="76" t="s">
        <v>483</v>
      </c>
      <c r="W96" s="76">
        <v>0</v>
      </c>
      <c r="X96" s="69"/>
    </row>
    <row r="97" spans="1:24" s="88" customFormat="1" ht="63.75">
      <c r="A97" s="26">
        <v>90</v>
      </c>
      <c r="B97" s="55" t="s">
        <v>21</v>
      </c>
      <c r="C97" s="76" t="s">
        <v>23</v>
      </c>
      <c r="D97" s="76" t="s">
        <v>745</v>
      </c>
      <c r="E97" s="57" t="s">
        <v>746</v>
      </c>
      <c r="F97" s="57" t="s">
        <v>108</v>
      </c>
      <c r="G97" s="76" t="s">
        <v>747</v>
      </c>
      <c r="H97" s="76" t="s">
        <v>158</v>
      </c>
      <c r="I97" s="76" t="s">
        <v>157</v>
      </c>
      <c r="J97" s="76" t="s">
        <v>158</v>
      </c>
      <c r="K97" s="76" t="s">
        <v>744</v>
      </c>
      <c r="L97" s="76"/>
      <c r="M97" s="76" t="s">
        <v>24</v>
      </c>
      <c r="N97" s="75">
        <v>1</v>
      </c>
      <c r="O97" s="75">
        <v>9910303.5700000003</v>
      </c>
      <c r="P97" s="75">
        <f t="shared" si="29"/>
        <v>9910303.5700000003</v>
      </c>
      <c r="Q97" s="75" t="s">
        <v>25</v>
      </c>
      <c r="R97" s="76" t="s">
        <v>477</v>
      </c>
      <c r="S97" s="76" t="s">
        <v>476</v>
      </c>
      <c r="T97" s="62" t="s">
        <v>22</v>
      </c>
      <c r="U97" s="76" t="s">
        <v>482</v>
      </c>
      <c r="V97" s="76" t="s">
        <v>483</v>
      </c>
      <c r="W97" s="76">
        <v>0</v>
      </c>
      <c r="X97" s="69"/>
    </row>
    <row r="98" spans="1:24" s="88" customFormat="1" ht="38.25">
      <c r="A98" s="26">
        <v>91</v>
      </c>
      <c r="B98" s="55" t="s">
        <v>21</v>
      </c>
      <c r="C98" s="76" t="s">
        <v>23</v>
      </c>
      <c r="D98" s="76" t="s">
        <v>71</v>
      </c>
      <c r="E98" s="76" t="s">
        <v>159</v>
      </c>
      <c r="F98" s="76" t="s">
        <v>160</v>
      </c>
      <c r="G98" s="76" t="s">
        <v>159</v>
      </c>
      <c r="H98" s="76" t="s">
        <v>160</v>
      </c>
      <c r="I98" s="76" t="s">
        <v>111</v>
      </c>
      <c r="J98" s="76" t="s">
        <v>110</v>
      </c>
      <c r="K98" s="76" t="s">
        <v>205</v>
      </c>
      <c r="L98" s="76" t="s">
        <v>220</v>
      </c>
      <c r="M98" s="76" t="s">
        <v>24</v>
      </c>
      <c r="N98" s="75">
        <v>1</v>
      </c>
      <c r="O98" s="75">
        <v>306405</v>
      </c>
      <c r="P98" s="75">
        <f t="shared" si="29"/>
        <v>306405</v>
      </c>
      <c r="Q98" s="75" t="s">
        <v>25</v>
      </c>
      <c r="R98" s="76" t="s">
        <v>478</v>
      </c>
      <c r="S98" s="76" t="s">
        <v>479</v>
      </c>
      <c r="T98" s="62" t="s">
        <v>22</v>
      </c>
      <c r="U98" s="76" t="s">
        <v>482</v>
      </c>
      <c r="V98" s="76" t="s">
        <v>483</v>
      </c>
      <c r="W98" s="76">
        <v>0</v>
      </c>
      <c r="X98" s="69"/>
    </row>
    <row r="99" spans="1:24" s="88" customFormat="1" ht="38.25">
      <c r="A99" s="26">
        <v>92</v>
      </c>
      <c r="B99" s="55" t="s">
        <v>21</v>
      </c>
      <c r="C99" s="76" t="s">
        <v>23</v>
      </c>
      <c r="D99" s="76" t="s">
        <v>71</v>
      </c>
      <c r="E99" s="76" t="s">
        <v>159</v>
      </c>
      <c r="F99" s="76" t="s">
        <v>160</v>
      </c>
      <c r="G99" s="76" t="s">
        <v>159</v>
      </c>
      <c r="H99" s="76" t="s">
        <v>160</v>
      </c>
      <c r="I99" s="76" t="s">
        <v>111</v>
      </c>
      <c r="J99" s="76" t="s">
        <v>110</v>
      </c>
      <c r="K99" s="76" t="s">
        <v>205</v>
      </c>
      <c r="L99" s="76"/>
      <c r="M99" s="76" t="s">
        <v>24</v>
      </c>
      <c r="N99" s="75">
        <v>1</v>
      </c>
      <c r="O99" s="75">
        <v>950400.00000000012</v>
      </c>
      <c r="P99" s="75">
        <f t="shared" si="29"/>
        <v>950400.00000000012</v>
      </c>
      <c r="Q99" s="75" t="s">
        <v>25</v>
      </c>
      <c r="R99" s="76" t="s">
        <v>477</v>
      </c>
      <c r="S99" s="76" t="s">
        <v>476</v>
      </c>
      <c r="T99" s="62" t="s">
        <v>22</v>
      </c>
      <c r="U99" s="76" t="s">
        <v>482</v>
      </c>
      <c r="V99" s="76" t="s">
        <v>483</v>
      </c>
      <c r="W99" s="76">
        <v>0</v>
      </c>
      <c r="X99" s="69"/>
    </row>
    <row r="100" spans="1:24" s="88" customFormat="1" ht="76.5">
      <c r="A100" s="26">
        <v>93</v>
      </c>
      <c r="B100" s="55" t="s">
        <v>21</v>
      </c>
      <c r="C100" s="76" t="s">
        <v>23</v>
      </c>
      <c r="D100" s="57" t="s">
        <v>76</v>
      </c>
      <c r="E100" s="57" t="s">
        <v>161</v>
      </c>
      <c r="F100" s="57" t="s">
        <v>162</v>
      </c>
      <c r="G100" s="57" t="s">
        <v>163</v>
      </c>
      <c r="H100" s="57" t="s">
        <v>162</v>
      </c>
      <c r="I100" s="76" t="s">
        <v>113</v>
      </c>
      <c r="J100" s="76" t="s">
        <v>112</v>
      </c>
      <c r="K100" s="76" t="s">
        <v>205</v>
      </c>
      <c r="L100" s="76" t="s">
        <v>220</v>
      </c>
      <c r="M100" s="76" t="s">
        <v>24</v>
      </c>
      <c r="N100" s="75">
        <v>1</v>
      </c>
      <c r="O100" s="75">
        <v>865128.33</v>
      </c>
      <c r="P100" s="75">
        <f t="shared" si="29"/>
        <v>865128.33</v>
      </c>
      <c r="Q100" s="75" t="s">
        <v>25</v>
      </c>
      <c r="R100" s="76" t="s">
        <v>478</v>
      </c>
      <c r="S100" s="76" t="s">
        <v>479</v>
      </c>
      <c r="T100" s="62" t="s">
        <v>22</v>
      </c>
      <c r="U100" s="76" t="s">
        <v>482</v>
      </c>
      <c r="V100" s="76" t="s">
        <v>483</v>
      </c>
      <c r="W100" s="76">
        <v>0</v>
      </c>
      <c r="X100" s="69"/>
    </row>
    <row r="101" spans="1:24" s="88" customFormat="1" ht="76.5">
      <c r="A101" s="26">
        <v>94</v>
      </c>
      <c r="B101" s="55" t="s">
        <v>21</v>
      </c>
      <c r="C101" s="76" t="s">
        <v>23</v>
      </c>
      <c r="D101" s="57" t="s">
        <v>76</v>
      </c>
      <c r="E101" s="57" t="s">
        <v>161</v>
      </c>
      <c r="F101" s="57" t="s">
        <v>162</v>
      </c>
      <c r="G101" s="57" t="s">
        <v>163</v>
      </c>
      <c r="H101" s="57" t="s">
        <v>162</v>
      </c>
      <c r="I101" s="76" t="s">
        <v>113</v>
      </c>
      <c r="J101" s="76" t="s">
        <v>112</v>
      </c>
      <c r="K101" s="76" t="s">
        <v>205</v>
      </c>
      <c r="L101" s="76"/>
      <c r="M101" s="76" t="s">
        <v>24</v>
      </c>
      <c r="N101" s="75">
        <v>1</v>
      </c>
      <c r="O101" s="75">
        <v>1388393.04</v>
      </c>
      <c r="P101" s="75">
        <f t="shared" si="29"/>
        <v>1388393.04</v>
      </c>
      <c r="Q101" s="75" t="s">
        <v>25</v>
      </c>
      <c r="R101" s="76" t="s">
        <v>477</v>
      </c>
      <c r="S101" s="76" t="s">
        <v>476</v>
      </c>
      <c r="T101" s="62" t="s">
        <v>22</v>
      </c>
      <c r="U101" s="76" t="s">
        <v>482</v>
      </c>
      <c r="V101" s="76" t="s">
        <v>483</v>
      </c>
      <c r="W101" s="76">
        <v>0</v>
      </c>
      <c r="X101" s="69"/>
    </row>
    <row r="102" spans="1:24" s="88" customFormat="1" ht="51">
      <c r="A102" s="26">
        <v>95</v>
      </c>
      <c r="B102" s="55" t="s">
        <v>21</v>
      </c>
      <c r="C102" s="76" t="s">
        <v>23</v>
      </c>
      <c r="D102" s="76" t="s">
        <v>75</v>
      </c>
      <c r="E102" s="76" t="s">
        <v>172</v>
      </c>
      <c r="F102" s="76" t="s">
        <v>173</v>
      </c>
      <c r="G102" s="76" t="s">
        <v>172</v>
      </c>
      <c r="H102" s="76" t="s">
        <v>173</v>
      </c>
      <c r="I102" s="76" t="s">
        <v>119</v>
      </c>
      <c r="J102" s="76" t="s">
        <v>74</v>
      </c>
      <c r="K102" s="75" t="s">
        <v>205</v>
      </c>
      <c r="L102" s="54" t="s">
        <v>220</v>
      </c>
      <c r="M102" s="54" t="s">
        <v>24</v>
      </c>
      <c r="N102" s="75">
        <v>1</v>
      </c>
      <c r="O102" s="75">
        <v>4790400</v>
      </c>
      <c r="P102" s="75">
        <f t="shared" si="29"/>
        <v>4790400</v>
      </c>
      <c r="Q102" s="68" t="s">
        <v>25</v>
      </c>
      <c r="R102" s="76" t="s">
        <v>478</v>
      </c>
      <c r="S102" s="76" t="s">
        <v>479</v>
      </c>
      <c r="T102" s="56" t="s">
        <v>22</v>
      </c>
      <c r="U102" s="76" t="s">
        <v>482</v>
      </c>
      <c r="V102" s="76" t="s">
        <v>483</v>
      </c>
      <c r="W102" s="76">
        <v>0</v>
      </c>
      <c r="X102" s="76"/>
    </row>
    <row r="103" spans="1:24" s="88" customFormat="1" ht="51">
      <c r="A103" s="26">
        <v>96</v>
      </c>
      <c r="B103" s="55" t="s">
        <v>21</v>
      </c>
      <c r="C103" s="76" t="s">
        <v>23</v>
      </c>
      <c r="D103" s="76" t="s">
        <v>75</v>
      </c>
      <c r="E103" s="76" t="s">
        <v>172</v>
      </c>
      <c r="F103" s="76" t="s">
        <v>173</v>
      </c>
      <c r="G103" s="76" t="s">
        <v>172</v>
      </c>
      <c r="H103" s="76" t="s">
        <v>173</v>
      </c>
      <c r="I103" s="76" t="s">
        <v>119</v>
      </c>
      <c r="J103" s="76" t="s">
        <v>74</v>
      </c>
      <c r="K103" s="75" t="s">
        <v>205</v>
      </c>
      <c r="L103" s="67"/>
      <c r="M103" s="54" t="s">
        <v>24</v>
      </c>
      <c r="N103" s="75">
        <v>1</v>
      </c>
      <c r="O103" s="75">
        <v>23952000</v>
      </c>
      <c r="P103" s="75">
        <f t="shared" si="29"/>
        <v>23952000</v>
      </c>
      <c r="Q103" s="68" t="s">
        <v>25</v>
      </c>
      <c r="R103" s="76" t="s">
        <v>477</v>
      </c>
      <c r="S103" s="76" t="s">
        <v>476</v>
      </c>
      <c r="T103" s="56" t="s">
        <v>22</v>
      </c>
      <c r="U103" s="76" t="s">
        <v>482</v>
      </c>
      <c r="V103" s="76" t="s">
        <v>483</v>
      </c>
      <c r="W103" s="76">
        <v>0</v>
      </c>
      <c r="X103" s="76"/>
    </row>
    <row r="104" spans="1:24" s="88" customFormat="1" ht="51">
      <c r="A104" s="26">
        <v>97</v>
      </c>
      <c r="B104" s="55" t="s">
        <v>21</v>
      </c>
      <c r="C104" s="76" t="s">
        <v>23</v>
      </c>
      <c r="D104" s="76" t="s">
        <v>77</v>
      </c>
      <c r="E104" s="59" t="s">
        <v>164</v>
      </c>
      <c r="F104" s="59" t="s">
        <v>165</v>
      </c>
      <c r="G104" s="59" t="s">
        <v>164</v>
      </c>
      <c r="H104" s="59" t="s">
        <v>165</v>
      </c>
      <c r="I104" s="76" t="s">
        <v>115</v>
      </c>
      <c r="J104" s="76" t="s">
        <v>114</v>
      </c>
      <c r="K104" s="75" t="s">
        <v>205</v>
      </c>
      <c r="L104" s="54" t="s">
        <v>220</v>
      </c>
      <c r="M104" s="76" t="s">
        <v>24</v>
      </c>
      <c r="N104" s="75">
        <v>1</v>
      </c>
      <c r="O104" s="75">
        <v>200000</v>
      </c>
      <c r="P104" s="75">
        <f t="shared" si="29"/>
        <v>200000</v>
      </c>
      <c r="Q104" s="75" t="s">
        <v>25</v>
      </c>
      <c r="R104" s="76" t="s">
        <v>478</v>
      </c>
      <c r="S104" s="76" t="s">
        <v>479</v>
      </c>
      <c r="T104" s="62" t="s">
        <v>22</v>
      </c>
      <c r="U104" s="76" t="s">
        <v>482</v>
      </c>
      <c r="V104" s="76" t="s">
        <v>483</v>
      </c>
      <c r="W104" s="76">
        <v>0</v>
      </c>
      <c r="X104" s="62"/>
    </row>
    <row r="105" spans="1:24" s="88" customFormat="1" ht="51">
      <c r="A105" s="26">
        <v>98</v>
      </c>
      <c r="B105" s="55" t="s">
        <v>21</v>
      </c>
      <c r="C105" s="76" t="s">
        <v>23</v>
      </c>
      <c r="D105" s="76" t="s">
        <v>77</v>
      </c>
      <c r="E105" s="59" t="s">
        <v>164</v>
      </c>
      <c r="F105" s="59" t="s">
        <v>165</v>
      </c>
      <c r="G105" s="59" t="s">
        <v>164</v>
      </c>
      <c r="H105" s="59" t="s">
        <v>165</v>
      </c>
      <c r="I105" s="76" t="s">
        <v>115</v>
      </c>
      <c r="J105" s="76" t="s">
        <v>114</v>
      </c>
      <c r="K105" s="75" t="s">
        <v>205</v>
      </c>
      <c r="L105" s="76"/>
      <c r="M105" s="76" t="s">
        <v>24</v>
      </c>
      <c r="N105" s="75">
        <v>1</v>
      </c>
      <c r="O105" s="75">
        <v>1000000</v>
      </c>
      <c r="P105" s="75">
        <f t="shared" si="29"/>
        <v>1000000</v>
      </c>
      <c r="Q105" s="75" t="s">
        <v>25</v>
      </c>
      <c r="R105" s="76" t="s">
        <v>477</v>
      </c>
      <c r="S105" s="76" t="s">
        <v>476</v>
      </c>
      <c r="T105" s="62" t="s">
        <v>22</v>
      </c>
      <c r="U105" s="76" t="s">
        <v>482</v>
      </c>
      <c r="V105" s="76" t="s">
        <v>483</v>
      </c>
      <c r="W105" s="76">
        <v>0</v>
      </c>
      <c r="X105" s="62"/>
    </row>
    <row r="106" spans="1:24" ht="140.25">
      <c r="A106" s="26">
        <v>99</v>
      </c>
      <c r="B106" s="55" t="s">
        <v>21</v>
      </c>
      <c r="C106" s="76" t="s">
        <v>23</v>
      </c>
      <c r="D106" s="76" t="s">
        <v>68</v>
      </c>
      <c r="E106" s="57" t="s">
        <v>142</v>
      </c>
      <c r="F106" s="57" t="s">
        <v>139</v>
      </c>
      <c r="G106" s="57" t="s">
        <v>143</v>
      </c>
      <c r="H106" s="57" t="s">
        <v>144</v>
      </c>
      <c r="I106" s="57" t="s">
        <v>145</v>
      </c>
      <c r="J106" s="57" t="s">
        <v>146</v>
      </c>
      <c r="K106" s="76" t="s">
        <v>26</v>
      </c>
      <c r="L106" s="76" t="s">
        <v>87</v>
      </c>
      <c r="M106" s="76" t="s">
        <v>24</v>
      </c>
      <c r="N106" s="75">
        <v>1</v>
      </c>
      <c r="O106" s="75">
        <v>163026514.28</v>
      </c>
      <c r="P106" s="75">
        <f t="shared" ref="P106:P121" si="30">O106*N106</f>
        <v>163026514.28</v>
      </c>
      <c r="Q106" s="75" t="s">
        <v>25</v>
      </c>
      <c r="R106" s="76" t="s">
        <v>442</v>
      </c>
      <c r="S106" s="76" t="s">
        <v>441</v>
      </c>
      <c r="T106" s="76" t="s">
        <v>22</v>
      </c>
      <c r="U106" s="76" t="s">
        <v>482</v>
      </c>
      <c r="V106" s="76" t="s">
        <v>483</v>
      </c>
      <c r="W106" s="76">
        <v>0</v>
      </c>
      <c r="X106" s="62"/>
    </row>
    <row r="107" spans="1:24" ht="63.75">
      <c r="A107" s="26">
        <v>100</v>
      </c>
      <c r="B107" s="55" t="s">
        <v>21</v>
      </c>
      <c r="C107" s="76" t="s">
        <v>23</v>
      </c>
      <c r="D107" s="76" t="s">
        <v>68</v>
      </c>
      <c r="E107" s="57" t="s">
        <v>142</v>
      </c>
      <c r="F107" s="57" t="s">
        <v>139</v>
      </c>
      <c r="G107" s="57" t="s">
        <v>143</v>
      </c>
      <c r="H107" s="57" t="s">
        <v>144</v>
      </c>
      <c r="I107" s="76" t="s">
        <v>141</v>
      </c>
      <c r="J107" s="76" t="s">
        <v>140</v>
      </c>
      <c r="K107" s="76" t="s">
        <v>26</v>
      </c>
      <c r="L107" s="76" t="s">
        <v>87</v>
      </c>
      <c r="M107" s="76" t="s">
        <v>24</v>
      </c>
      <c r="N107" s="75">
        <v>1</v>
      </c>
      <c r="O107" s="75">
        <v>8099999.9999999991</v>
      </c>
      <c r="P107" s="75">
        <f t="shared" si="30"/>
        <v>8099999.9999999991</v>
      </c>
      <c r="Q107" s="75" t="s">
        <v>25</v>
      </c>
      <c r="R107" s="76" t="s">
        <v>442</v>
      </c>
      <c r="S107" s="76" t="s">
        <v>441</v>
      </c>
      <c r="T107" s="76" t="s">
        <v>22</v>
      </c>
      <c r="U107" s="76" t="s">
        <v>482</v>
      </c>
      <c r="V107" s="76" t="s">
        <v>483</v>
      </c>
      <c r="W107" s="76">
        <v>0</v>
      </c>
      <c r="X107" s="62"/>
    </row>
    <row r="108" spans="1:24" ht="63.75">
      <c r="A108" s="26">
        <v>101</v>
      </c>
      <c r="B108" s="55" t="s">
        <v>21</v>
      </c>
      <c r="C108" s="76" t="s">
        <v>23</v>
      </c>
      <c r="D108" s="76" t="s">
        <v>312</v>
      </c>
      <c r="E108" s="76" t="s">
        <v>313</v>
      </c>
      <c r="F108" s="76" t="s">
        <v>314</v>
      </c>
      <c r="G108" s="76" t="s">
        <v>313</v>
      </c>
      <c r="H108" s="76" t="s">
        <v>314</v>
      </c>
      <c r="I108" s="76" t="s">
        <v>315</v>
      </c>
      <c r="J108" s="76" t="s">
        <v>316</v>
      </c>
      <c r="K108" s="76" t="s">
        <v>206</v>
      </c>
      <c r="L108" s="76"/>
      <c r="M108" s="76" t="s">
        <v>24</v>
      </c>
      <c r="N108" s="75">
        <v>1</v>
      </c>
      <c r="O108" s="75">
        <v>5750000</v>
      </c>
      <c r="P108" s="75">
        <f t="shared" si="30"/>
        <v>5750000</v>
      </c>
      <c r="Q108" s="75" t="s">
        <v>25</v>
      </c>
      <c r="R108" s="76" t="s">
        <v>484</v>
      </c>
      <c r="S108" s="76" t="s">
        <v>427</v>
      </c>
      <c r="T108" s="62" t="s">
        <v>22</v>
      </c>
      <c r="U108" s="76" t="s">
        <v>482</v>
      </c>
      <c r="V108" s="76" t="s">
        <v>483</v>
      </c>
      <c r="W108" s="76">
        <v>0</v>
      </c>
      <c r="X108" s="69"/>
    </row>
    <row r="109" spans="1:24" ht="63.75">
      <c r="A109" s="26">
        <v>102</v>
      </c>
      <c r="B109" s="55" t="s">
        <v>21</v>
      </c>
      <c r="C109" s="76" t="s">
        <v>23</v>
      </c>
      <c r="D109" s="30" t="s">
        <v>312</v>
      </c>
      <c r="E109" s="30" t="s">
        <v>313</v>
      </c>
      <c r="F109" s="30" t="s">
        <v>314</v>
      </c>
      <c r="G109" s="30" t="s">
        <v>313</v>
      </c>
      <c r="H109" s="30" t="s">
        <v>314</v>
      </c>
      <c r="I109" s="76" t="s">
        <v>342</v>
      </c>
      <c r="J109" s="76" t="s">
        <v>341</v>
      </c>
      <c r="K109" s="76" t="s">
        <v>206</v>
      </c>
      <c r="L109" s="76"/>
      <c r="M109" s="76" t="s">
        <v>24</v>
      </c>
      <c r="N109" s="75">
        <v>1</v>
      </c>
      <c r="O109" s="29">
        <v>705000</v>
      </c>
      <c r="P109" s="29">
        <f t="shared" si="30"/>
        <v>705000</v>
      </c>
      <c r="Q109" s="59" t="s">
        <v>25</v>
      </c>
      <c r="R109" s="76" t="s">
        <v>484</v>
      </c>
      <c r="S109" s="76" t="s">
        <v>427</v>
      </c>
      <c r="T109" s="62" t="s">
        <v>22</v>
      </c>
      <c r="U109" s="76" t="s">
        <v>482</v>
      </c>
      <c r="V109" s="76" t="s">
        <v>483</v>
      </c>
      <c r="W109" s="76">
        <v>0</v>
      </c>
      <c r="X109" s="36"/>
    </row>
    <row r="110" spans="1:24" ht="114.75">
      <c r="A110" s="26">
        <v>103</v>
      </c>
      <c r="B110" s="55" t="s">
        <v>21</v>
      </c>
      <c r="C110" s="76" t="s">
        <v>23</v>
      </c>
      <c r="D110" s="57" t="s">
        <v>101</v>
      </c>
      <c r="E110" s="57" t="s">
        <v>147</v>
      </c>
      <c r="F110" s="57" t="s">
        <v>102</v>
      </c>
      <c r="G110" s="57" t="s">
        <v>147</v>
      </c>
      <c r="H110" s="57" t="s">
        <v>102</v>
      </c>
      <c r="I110" s="82" t="s">
        <v>395</v>
      </c>
      <c r="J110" s="82" t="s">
        <v>394</v>
      </c>
      <c r="K110" s="76" t="s">
        <v>205</v>
      </c>
      <c r="L110" s="76"/>
      <c r="M110" s="76" t="s">
        <v>24</v>
      </c>
      <c r="N110" s="75">
        <v>1</v>
      </c>
      <c r="O110" s="75">
        <v>210000</v>
      </c>
      <c r="P110" s="75">
        <f t="shared" ref="P110" si="31">O110*N110</f>
        <v>210000</v>
      </c>
      <c r="Q110" s="59" t="s">
        <v>103</v>
      </c>
      <c r="R110" s="54" t="s">
        <v>207</v>
      </c>
      <c r="S110" s="76" t="s">
        <v>208</v>
      </c>
      <c r="T110" s="62" t="s">
        <v>22</v>
      </c>
      <c r="U110" s="76" t="s">
        <v>482</v>
      </c>
      <c r="V110" s="76" t="s">
        <v>483</v>
      </c>
      <c r="W110" s="76">
        <v>0</v>
      </c>
      <c r="X110" s="111" t="s">
        <v>440</v>
      </c>
    </row>
    <row r="111" spans="1:24" s="88" customFormat="1" ht="114.75">
      <c r="A111" s="26">
        <v>104</v>
      </c>
      <c r="B111" s="55" t="s">
        <v>21</v>
      </c>
      <c r="C111" s="76" t="s">
        <v>23</v>
      </c>
      <c r="D111" s="57" t="s">
        <v>101</v>
      </c>
      <c r="E111" s="57" t="s">
        <v>147</v>
      </c>
      <c r="F111" s="57" t="s">
        <v>102</v>
      </c>
      <c r="G111" s="57" t="s">
        <v>147</v>
      </c>
      <c r="H111" s="57" t="s">
        <v>102</v>
      </c>
      <c r="I111" s="76" t="s">
        <v>711</v>
      </c>
      <c r="J111" s="76" t="s">
        <v>712</v>
      </c>
      <c r="K111" s="76" t="s">
        <v>205</v>
      </c>
      <c r="L111" s="76"/>
      <c r="M111" s="76" t="s">
        <v>24</v>
      </c>
      <c r="N111" s="75">
        <v>1</v>
      </c>
      <c r="O111" s="75">
        <v>210000</v>
      </c>
      <c r="P111" s="75">
        <f t="shared" si="30"/>
        <v>210000</v>
      </c>
      <c r="Q111" s="59" t="s">
        <v>103</v>
      </c>
      <c r="R111" s="54" t="s">
        <v>207</v>
      </c>
      <c r="S111" s="76" t="s">
        <v>208</v>
      </c>
      <c r="T111" s="62" t="s">
        <v>22</v>
      </c>
      <c r="U111" s="76" t="s">
        <v>482</v>
      </c>
      <c r="V111" s="76" t="s">
        <v>483</v>
      </c>
      <c r="W111" s="76">
        <v>0</v>
      </c>
      <c r="X111" s="111" t="s">
        <v>440</v>
      </c>
    </row>
    <row r="112" spans="1:24" s="88" customFormat="1" ht="114.75">
      <c r="A112" s="26">
        <v>105</v>
      </c>
      <c r="B112" s="55" t="s">
        <v>21</v>
      </c>
      <c r="C112" s="76" t="s">
        <v>23</v>
      </c>
      <c r="D112" s="57" t="s">
        <v>101</v>
      </c>
      <c r="E112" s="57" t="s">
        <v>147</v>
      </c>
      <c r="F112" s="57" t="s">
        <v>102</v>
      </c>
      <c r="G112" s="57" t="s">
        <v>147</v>
      </c>
      <c r="H112" s="57" t="s">
        <v>102</v>
      </c>
      <c r="I112" s="83" t="s">
        <v>318</v>
      </c>
      <c r="J112" s="83" t="s">
        <v>319</v>
      </c>
      <c r="K112" s="76" t="s">
        <v>205</v>
      </c>
      <c r="L112" s="82"/>
      <c r="M112" s="76" t="s">
        <v>24</v>
      </c>
      <c r="N112" s="84">
        <v>1</v>
      </c>
      <c r="O112" s="84">
        <v>19999.999999999996</v>
      </c>
      <c r="P112" s="84">
        <f t="shared" si="30"/>
        <v>19999.999999999996</v>
      </c>
      <c r="Q112" s="59" t="s">
        <v>103</v>
      </c>
      <c r="R112" s="54" t="s">
        <v>207</v>
      </c>
      <c r="S112" s="76" t="s">
        <v>208</v>
      </c>
      <c r="T112" s="62" t="s">
        <v>22</v>
      </c>
      <c r="U112" s="76" t="s">
        <v>482</v>
      </c>
      <c r="V112" s="76" t="s">
        <v>483</v>
      </c>
      <c r="W112" s="76">
        <v>0</v>
      </c>
      <c r="X112" s="111" t="s">
        <v>440</v>
      </c>
    </row>
    <row r="113" spans="1:24" ht="114.75">
      <c r="A113" s="26">
        <v>106</v>
      </c>
      <c r="B113" s="55" t="s">
        <v>21</v>
      </c>
      <c r="C113" s="76" t="s">
        <v>23</v>
      </c>
      <c r="D113" s="57" t="s">
        <v>101</v>
      </c>
      <c r="E113" s="57" t="s">
        <v>147</v>
      </c>
      <c r="F113" s="57" t="s">
        <v>102</v>
      </c>
      <c r="G113" s="57" t="s">
        <v>147</v>
      </c>
      <c r="H113" s="57" t="s">
        <v>102</v>
      </c>
      <c r="I113" s="83" t="s">
        <v>320</v>
      </c>
      <c r="J113" s="83" t="s">
        <v>321</v>
      </c>
      <c r="K113" s="76" t="s">
        <v>205</v>
      </c>
      <c r="L113" s="82"/>
      <c r="M113" s="76" t="s">
        <v>24</v>
      </c>
      <c r="N113" s="84">
        <v>1</v>
      </c>
      <c r="O113" s="84">
        <v>19999.999999999996</v>
      </c>
      <c r="P113" s="84">
        <f t="shared" si="30"/>
        <v>19999.999999999996</v>
      </c>
      <c r="Q113" s="59" t="s">
        <v>103</v>
      </c>
      <c r="R113" s="54" t="s">
        <v>207</v>
      </c>
      <c r="S113" s="76" t="s">
        <v>208</v>
      </c>
      <c r="T113" s="62" t="s">
        <v>22</v>
      </c>
      <c r="U113" s="76" t="s">
        <v>482</v>
      </c>
      <c r="V113" s="76" t="s">
        <v>483</v>
      </c>
      <c r="W113" s="76">
        <v>0</v>
      </c>
      <c r="X113" s="111" t="s">
        <v>440</v>
      </c>
    </row>
    <row r="114" spans="1:24" s="31" customFormat="1" ht="114.75">
      <c r="A114" s="26">
        <v>107</v>
      </c>
      <c r="B114" s="26" t="s">
        <v>21</v>
      </c>
      <c r="C114" s="76" t="s">
        <v>23</v>
      </c>
      <c r="D114" s="57" t="s">
        <v>101</v>
      </c>
      <c r="E114" s="57" t="s">
        <v>147</v>
      </c>
      <c r="F114" s="57" t="s">
        <v>102</v>
      </c>
      <c r="G114" s="57" t="s">
        <v>147</v>
      </c>
      <c r="H114" s="57" t="s">
        <v>102</v>
      </c>
      <c r="I114" s="57" t="s">
        <v>686</v>
      </c>
      <c r="J114" s="57" t="s">
        <v>685</v>
      </c>
      <c r="K114" s="76" t="s">
        <v>205</v>
      </c>
      <c r="L114" s="76"/>
      <c r="M114" s="76" t="s">
        <v>24</v>
      </c>
      <c r="N114" s="75">
        <v>1</v>
      </c>
      <c r="O114" s="75">
        <v>110000.00000000001</v>
      </c>
      <c r="P114" s="75">
        <f t="shared" si="30"/>
        <v>110000.00000000001</v>
      </c>
      <c r="Q114" s="59" t="s">
        <v>103</v>
      </c>
      <c r="R114" s="54" t="s">
        <v>207</v>
      </c>
      <c r="S114" s="76" t="s">
        <v>208</v>
      </c>
      <c r="T114" s="62" t="s">
        <v>22</v>
      </c>
      <c r="U114" s="76" t="s">
        <v>482</v>
      </c>
      <c r="V114" s="76" t="s">
        <v>483</v>
      </c>
      <c r="W114" s="76">
        <v>0</v>
      </c>
      <c r="X114" s="111" t="s">
        <v>440</v>
      </c>
    </row>
    <row r="115" spans="1:24" ht="102">
      <c r="A115" s="82">
        <v>108</v>
      </c>
      <c r="B115" s="82" t="s">
        <v>91</v>
      </c>
      <c r="C115" s="82" t="s">
        <v>23</v>
      </c>
      <c r="D115" s="83" t="s">
        <v>101</v>
      </c>
      <c r="E115" s="83" t="s">
        <v>106</v>
      </c>
      <c r="F115" s="83" t="s">
        <v>102</v>
      </c>
      <c r="G115" s="83" t="s">
        <v>106</v>
      </c>
      <c r="H115" s="83" t="s">
        <v>102</v>
      </c>
      <c r="I115" s="83" t="s">
        <v>688</v>
      </c>
      <c r="J115" s="82" t="s">
        <v>687</v>
      </c>
      <c r="K115" s="76" t="s">
        <v>205</v>
      </c>
      <c r="L115" s="82"/>
      <c r="M115" s="76" t="s">
        <v>24</v>
      </c>
      <c r="N115" s="75">
        <v>1</v>
      </c>
      <c r="O115" s="84">
        <v>300000</v>
      </c>
      <c r="P115" s="75">
        <f t="shared" si="30"/>
        <v>300000</v>
      </c>
      <c r="Q115" s="59" t="s">
        <v>103</v>
      </c>
      <c r="R115" s="82" t="s">
        <v>237</v>
      </c>
      <c r="S115" s="82" t="s">
        <v>236</v>
      </c>
      <c r="T115" s="76" t="s">
        <v>22</v>
      </c>
      <c r="U115" s="76" t="s">
        <v>482</v>
      </c>
      <c r="V115" s="76" t="s">
        <v>483</v>
      </c>
      <c r="W115" s="76">
        <v>0</v>
      </c>
      <c r="X115" s="111" t="s">
        <v>440</v>
      </c>
    </row>
    <row r="116" spans="1:24" s="31" customFormat="1" ht="89.25">
      <c r="A116" s="26">
        <v>110</v>
      </c>
      <c r="B116" s="26" t="s">
        <v>21</v>
      </c>
      <c r="C116" s="76" t="s">
        <v>61</v>
      </c>
      <c r="D116" s="57" t="s">
        <v>754</v>
      </c>
      <c r="E116" s="57" t="s">
        <v>758</v>
      </c>
      <c r="F116" s="57" t="s">
        <v>755</v>
      </c>
      <c r="G116" s="57" t="s">
        <v>757</v>
      </c>
      <c r="H116" s="57" t="s">
        <v>756</v>
      </c>
      <c r="I116" s="57" t="s">
        <v>760</v>
      </c>
      <c r="J116" s="57" t="s">
        <v>759</v>
      </c>
      <c r="K116" s="93" t="s">
        <v>206</v>
      </c>
      <c r="L116" s="76"/>
      <c r="M116" s="76" t="s">
        <v>92</v>
      </c>
      <c r="N116" s="75">
        <v>1</v>
      </c>
      <c r="O116" s="75">
        <v>209000</v>
      </c>
      <c r="P116" s="75">
        <f t="shared" si="30"/>
        <v>209000</v>
      </c>
      <c r="Q116" s="59" t="s">
        <v>103</v>
      </c>
      <c r="R116" s="82" t="s">
        <v>237</v>
      </c>
      <c r="S116" s="82" t="s">
        <v>236</v>
      </c>
      <c r="T116" s="62" t="s">
        <v>22</v>
      </c>
      <c r="U116" s="76" t="s">
        <v>482</v>
      </c>
      <c r="V116" s="76" t="s">
        <v>483</v>
      </c>
      <c r="W116" s="76">
        <v>0</v>
      </c>
      <c r="X116" s="62"/>
    </row>
    <row r="117" spans="1:24" s="31" customFormat="1" ht="102">
      <c r="A117" s="26">
        <v>112</v>
      </c>
      <c r="B117" s="26" t="s">
        <v>21</v>
      </c>
      <c r="C117" s="76" t="s">
        <v>23</v>
      </c>
      <c r="D117" s="57" t="s">
        <v>88</v>
      </c>
      <c r="E117" s="76" t="s">
        <v>148</v>
      </c>
      <c r="F117" s="76" t="s">
        <v>149</v>
      </c>
      <c r="G117" s="76" t="s">
        <v>150</v>
      </c>
      <c r="H117" s="76" t="s">
        <v>151</v>
      </c>
      <c r="I117" s="76" t="s">
        <v>152</v>
      </c>
      <c r="J117" s="76" t="s">
        <v>153</v>
      </c>
      <c r="K117" s="76" t="s">
        <v>206</v>
      </c>
      <c r="L117" s="28"/>
      <c r="M117" s="76" t="s">
        <v>24</v>
      </c>
      <c r="N117" s="75">
        <v>1</v>
      </c>
      <c r="O117" s="75">
        <v>241199.99999999997</v>
      </c>
      <c r="P117" s="75">
        <f t="shared" si="30"/>
        <v>241199.99999999997</v>
      </c>
      <c r="Q117" s="75" t="s">
        <v>25</v>
      </c>
      <c r="R117" s="76" t="s">
        <v>484</v>
      </c>
      <c r="S117" s="76" t="s">
        <v>427</v>
      </c>
      <c r="T117" s="62" t="s">
        <v>22</v>
      </c>
      <c r="U117" s="76" t="s">
        <v>482</v>
      </c>
      <c r="V117" s="76" t="s">
        <v>483</v>
      </c>
      <c r="W117" s="76">
        <v>0</v>
      </c>
      <c r="X117" s="69"/>
    </row>
    <row r="118" spans="1:24" s="31" customFormat="1" ht="76.5">
      <c r="A118" s="26">
        <v>113</v>
      </c>
      <c r="B118" s="26" t="s">
        <v>21</v>
      </c>
      <c r="C118" s="76" t="s">
        <v>23</v>
      </c>
      <c r="D118" s="57" t="s">
        <v>73</v>
      </c>
      <c r="E118" s="57" t="s">
        <v>170</v>
      </c>
      <c r="F118" s="57" t="s">
        <v>171</v>
      </c>
      <c r="G118" s="57" t="s">
        <v>170</v>
      </c>
      <c r="H118" s="57" t="s">
        <v>171</v>
      </c>
      <c r="I118" s="76" t="s">
        <v>130</v>
      </c>
      <c r="J118" s="76" t="s">
        <v>116</v>
      </c>
      <c r="K118" s="76" t="s">
        <v>205</v>
      </c>
      <c r="L118" s="76"/>
      <c r="M118" s="76" t="s">
        <v>24</v>
      </c>
      <c r="N118" s="75">
        <v>1</v>
      </c>
      <c r="O118" s="75">
        <v>1992648.21</v>
      </c>
      <c r="P118" s="75">
        <f t="shared" si="30"/>
        <v>1992648.21</v>
      </c>
      <c r="Q118" s="59" t="s">
        <v>97</v>
      </c>
      <c r="R118" s="70" t="s">
        <v>48</v>
      </c>
      <c r="S118" s="56" t="s">
        <v>37</v>
      </c>
      <c r="T118" s="62" t="s">
        <v>22</v>
      </c>
      <c r="U118" s="76" t="s">
        <v>482</v>
      </c>
      <c r="V118" s="76" t="s">
        <v>483</v>
      </c>
      <c r="W118" s="76">
        <v>0</v>
      </c>
      <c r="X118" s="69"/>
    </row>
    <row r="119" spans="1:24" s="90" customFormat="1" ht="89.25">
      <c r="A119" s="26">
        <v>114</v>
      </c>
      <c r="B119" s="26" t="s">
        <v>21</v>
      </c>
      <c r="C119" s="76" t="s">
        <v>61</v>
      </c>
      <c r="D119" s="57" t="s">
        <v>72</v>
      </c>
      <c r="E119" s="57" t="s">
        <v>166</v>
      </c>
      <c r="F119" s="57" t="s">
        <v>167</v>
      </c>
      <c r="G119" s="57" t="s">
        <v>168</v>
      </c>
      <c r="H119" s="57" t="s">
        <v>169</v>
      </c>
      <c r="I119" s="76" t="s">
        <v>118</v>
      </c>
      <c r="J119" s="76" t="s">
        <v>117</v>
      </c>
      <c r="K119" s="76" t="s">
        <v>205</v>
      </c>
      <c r="L119" s="54" t="s">
        <v>220</v>
      </c>
      <c r="M119" s="76" t="s">
        <v>92</v>
      </c>
      <c r="N119" s="75">
        <v>1</v>
      </c>
      <c r="O119" s="75">
        <v>1722678.86</v>
      </c>
      <c r="P119" s="75">
        <f t="shared" si="30"/>
        <v>1722678.86</v>
      </c>
      <c r="Q119" s="59" t="s">
        <v>25</v>
      </c>
      <c r="R119" s="76" t="s">
        <v>478</v>
      </c>
      <c r="S119" s="76" t="s">
        <v>479</v>
      </c>
      <c r="T119" s="62" t="s">
        <v>22</v>
      </c>
      <c r="U119" s="76" t="s">
        <v>482</v>
      </c>
      <c r="V119" s="76" t="s">
        <v>483</v>
      </c>
      <c r="W119" s="76">
        <v>0</v>
      </c>
      <c r="X119" s="69"/>
    </row>
    <row r="120" spans="1:24" s="90" customFormat="1" ht="89.25">
      <c r="A120" s="76">
        <v>115</v>
      </c>
      <c r="B120" s="26" t="s">
        <v>21</v>
      </c>
      <c r="C120" s="76" t="s">
        <v>61</v>
      </c>
      <c r="D120" s="57" t="s">
        <v>72</v>
      </c>
      <c r="E120" s="57" t="s">
        <v>166</v>
      </c>
      <c r="F120" s="57" t="s">
        <v>167</v>
      </c>
      <c r="G120" s="57" t="s">
        <v>168</v>
      </c>
      <c r="H120" s="57" t="s">
        <v>169</v>
      </c>
      <c r="I120" s="76" t="s">
        <v>118</v>
      </c>
      <c r="J120" s="76" t="s">
        <v>117</v>
      </c>
      <c r="K120" s="76" t="s">
        <v>205</v>
      </c>
      <c r="L120" s="54"/>
      <c r="M120" s="76" t="s">
        <v>92</v>
      </c>
      <c r="N120" s="75">
        <v>1</v>
      </c>
      <c r="O120" s="75">
        <v>8613394.3399999999</v>
      </c>
      <c r="P120" s="75">
        <f t="shared" ref="P120" si="32">O120*N120</f>
        <v>8613394.3399999999</v>
      </c>
      <c r="Q120" s="59" t="s">
        <v>25</v>
      </c>
      <c r="R120" s="76" t="s">
        <v>477</v>
      </c>
      <c r="S120" s="76" t="s">
        <v>476</v>
      </c>
      <c r="T120" s="62" t="s">
        <v>22</v>
      </c>
      <c r="U120" s="76" t="s">
        <v>482</v>
      </c>
      <c r="V120" s="76" t="s">
        <v>483</v>
      </c>
      <c r="W120" s="76">
        <v>0</v>
      </c>
      <c r="X120" s="81"/>
    </row>
    <row r="121" spans="1:24" s="88" customFormat="1" ht="76.5">
      <c r="A121" s="26">
        <v>116</v>
      </c>
      <c r="B121" s="26" t="s">
        <v>21</v>
      </c>
      <c r="C121" s="76" t="s">
        <v>23</v>
      </c>
      <c r="D121" s="57" t="s">
        <v>73</v>
      </c>
      <c r="E121" s="57" t="s">
        <v>170</v>
      </c>
      <c r="F121" s="57" t="s">
        <v>171</v>
      </c>
      <c r="G121" s="57" t="s">
        <v>170</v>
      </c>
      <c r="H121" s="57" t="s">
        <v>171</v>
      </c>
      <c r="I121" s="71" t="s">
        <v>323</v>
      </c>
      <c r="J121" s="57" t="s">
        <v>322</v>
      </c>
      <c r="K121" s="76" t="s">
        <v>205</v>
      </c>
      <c r="L121" s="75"/>
      <c r="M121" s="76" t="s">
        <v>24</v>
      </c>
      <c r="N121" s="75">
        <v>1</v>
      </c>
      <c r="O121" s="75">
        <v>10507726.779999999</v>
      </c>
      <c r="P121" s="75">
        <f t="shared" si="30"/>
        <v>10507726.779999999</v>
      </c>
      <c r="Q121" s="59" t="s">
        <v>103</v>
      </c>
      <c r="R121" s="70" t="s">
        <v>48</v>
      </c>
      <c r="S121" s="56" t="s">
        <v>37</v>
      </c>
      <c r="T121" s="62" t="s">
        <v>22</v>
      </c>
      <c r="U121" s="76" t="s">
        <v>482</v>
      </c>
      <c r="V121" s="76" t="s">
        <v>483</v>
      </c>
      <c r="W121" s="76">
        <v>0</v>
      </c>
      <c r="X121" s="69"/>
    </row>
    <row r="122" spans="1:24" s="88" customFormat="1" ht="76.5">
      <c r="A122" s="76">
        <v>117</v>
      </c>
      <c r="B122" s="76" t="s">
        <v>21</v>
      </c>
      <c r="C122" s="76" t="s">
        <v>23</v>
      </c>
      <c r="D122" s="57" t="s">
        <v>73</v>
      </c>
      <c r="E122" s="57" t="s">
        <v>170</v>
      </c>
      <c r="F122" s="57" t="s">
        <v>171</v>
      </c>
      <c r="G122" s="57" t="s">
        <v>170</v>
      </c>
      <c r="H122" s="57" t="s">
        <v>171</v>
      </c>
      <c r="I122" s="71" t="s">
        <v>749</v>
      </c>
      <c r="J122" s="57" t="s">
        <v>748</v>
      </c>
      <c r="K122" s="76" t="s">
        <v>205</v>
      </c>
      <c r="L122" s="75"/>
      <c r="M122" s="76" t="s">
        <v>24</v>
      </c>
      <c r="N122" s="75">
        <v>1</v>
      </c>
      <c r="O122" s="75">
        <v>3476893.7499999995</v>
      </c>
      <c r="P122" s="75">
        <f t="shared" ref="P122:P129" si="33">O122*N122</f>
        <v>3476893.7499999995</v>
      </c>
      <c r="Q122" s="59" t="s">
        <v>103</v>
      </c>
      <c r="R122" s="70" t="s">
        <v>48</v>
      </c>
      <c r="S122" s="56" t="s">
        <v>37</v>
      </c>
      <c r="T122" s="62" t="s">
        <v>22</v>
      </c>
      <c r="U122" s="76" t="s">
        <v>482</v>
      </c>
      <c r="V122" s="76" t="s">
        <v>483</v>
      </c>
      <c r="W122" s="76">
        <v>0</v>
      </c>
      <c r="X122" s="69"/>
    </row>
    <row r="123" spans="1:24" ht="86.25" customHeight="1">
      <c r="A123" s="26">
        <v>118</v>
      </c>
      <c r="B123" s="26" t="s">
        <v>21</v>
      </c>
      <c r="C123" s="76" t="s">
        <v>23</v>
      </c>
      <c r="D123" s="57" t="s">
        <v>73</v>
      </c>
      <c r="E123" s="57" t="s">
        <v>170</v>
      </c>
      <c r="F123" s="57" t="s">
        <v>171</v>
      </c>
      <c r="G123" s="57" t="s">
        <v>170</v>
      </c>
      <c r="H123" s="57" t="s">
        <v>171</v>
      </c>
      <c r="I123" s="76" t="s">
        <v>121</v>
      </c>
      <c r="J123" s="76" t="s">
        <v>120</v>
      </c>
      <c r="K123" s="76" t="s">
        <v>205</v>
      </c>
      <c r="L123" s="72"/>
      <c r="M123" s="54" t="s">
        <v>24</v>
      </c>
      <c r="N123" s="75">
        <v>1</v>
      </c>
      <c r="O123" s="75">
        <v>1231749.9999999998</v>
      </c>
      <c r="P123" s="75">
        <f t="shared" si="33"/>
        <v>1231749.9999999998</v>
      </c>
      <c r="Q123" s="59" t="s">
        <v>317</v>
      </c>
      <c r="R123" s="70" t="s">
        <v>48</v>
      </c>
      <c r="S123" s="56" t="s">
        <v>37</v>
      </c>
      <c r="T123" s="76" t="s">
        <v>22</v>
      </c>
      <c r="U123" s="76" t="s">
        <v>482</v>
      </c>
      <c r="V123" s="76" t="s">
        <v>483</v>
      </c>
      <c r="W123" s="76">
        <v>0</v>
      </c>
      <c r="X123" s="66"/>
    </row>
    <row r="124" spans="1:24" ht="80.25" customHeight="1">
      <c r="A124" s="26">
        <v>119</v>
      </c>
      <c r="B124" s="26" t="s">
        <v>21</v>
      </c>
      <c r="C124" s="76" t="s">
        <v>23</v>
      </c>
      <c r="D124" s="57" t="s">
        <v>73</v>
      </c>
      <c r="E124" s="57" t="s">
        <v>170</v>
      </c>
      <c r="F124" s="57" t="s">
        <v>171</v>
      </c>
      <c r="G124" s="57" t="s">
        <v>170</v>
      </c>
      <c r="H124" s="57" t="s">
        <v>171</v>
      </c>
      <c r="I124" s="76" t="s">
        <v>123</v>
      </c>
      <c r="J124" s="76" t="s">
        <v>122</v>
      </c>
      <c r="K124" s="76" t="s">
        <v>205</v>
      </c>
      <c r="L124" s="76"/>
      <c r="M124" s="54" t="s">
        <v>24</v>
      </c>
      <c r="N124" s="75">
        <v>1</v>
      </c>
      <c r="O124" s="75">
        <v>544500</v>
      </c>
      <c r="P124" s="75">
        <f t="shared" si="33"/>
        <v>544500</v>
      </c>
      <c r="Q124" s="59" t="s">
        <v>317</v>
      </c>
      <c r="R124" s="70" t="s">
        <v>48</v>
      </c>
      <c r="S124" s="56" t="s">
        <v>37</v>
      </c>
      <c r="T124" s="76" t="s">
        <v>22</v>
      </c>
      <c r="U124" s="76" t="s">
        <v>482</v>
      </c>
      <c r="V124" s="76" t="s">
        <v>483</v>
      </c>
      <c r="W124" s="76">
        <v>0</v>
      </c>
      <c r="X124" s="76"/>
    </row>
    <row r="125" spans="1:24" s="27" customFormat="1" ht="76.5">
      <c r="A125" s="26">
        <v>120</v>
      </c>
      <c r="B125" s="76" t="s">
        <v>21</v>
      </c>
      <c r="C125" s="56" t="s">
        <v>23</v>
      </c>
      <c r="D125" s="76" t="s">
        <v>93</v>
      </c>
      <c r="E125" s="76" t="s">
        <v>245</v>
      </c>
      <c r="F125" s="76" t="s">
        <v>243</v>
      </c>
      <c r="G125" s="76" t="s">
        <v>244</v>
      </c>
      <c r="H125" s="76" t="s">
        <v>243</v>
      </c>
      <c r="I125" s="56" t="s">
        <v>125</v>
      </c>
      <c r="J125" s="56" t="s">
        <v>124</v>
      </c>
      <c r="K125" s="76" t="s">
        <v>205</v>
      </c>
      <c r="L125" s="56"/>
      <c r="M125" s="70" t="s">
        <v>24</v>
      </c>
      <c r="N125" s="68">
        <v>1</v>
      </c>
      <c r="O125" s="68">
        <v>8782946.4199999999</v>
      </c>
      <c r="P125" s="75">
        <f t="shared" si="33"/>
        <v>8782946.4199999999</v>
      </c>
      <c r="Q125" s="59" t="s">
        <v>25</v>
      </c>
      <c r="R125" s="70" t="s">
        <v>48</v>
      </c>
      <c r="S125" s="56" t="s">
        <v>37</v>
      </c>
      <c r="T125" s="56" t="s">
        <v>22</v>
      </c>
      <c r="U125" s="76" t="s">
        <v>482</v>
      </c>
      <c r="V125" s="76" t="s">
        <v>483</v>
      </c>
      <c r="W125" s="56">
        <v>0</v>
      </c>
      <c r="X125" s="56"/>
    </row>
    <row r="126" spans="1:24" s="27" customFormat="1" ht="76.5">
      <c r="A126" s="26">
        <v>121</v>
      </c>
      <c r="B126" s="76" t="s">
        <v>21</v>
      </c>
      <c r="C126" s="76" t="s">
        <v>23</v>
      </c>
      <c r="D126" s="65" t="s">
        <v>175</v>
      </c>
      <c r="E126" s="76" t="s">
        <v>176</v>
      </c>
      <c r="F126" s="76" t="s">
        <v>177</v>
      </c>
      <c r="G126" s="76" t="s">
        <v>178</v>
      </c>
      <c r="H126" s="76" t="s">
        <v>179</v>
      </c>
      <c r="I126" s="56" t="s">
        <v>679</v>
      </c>
      <c r="J126" s="57" t="s">
        <v>678</v>
      </c>
      <c r="K126" s="76" t="s">
        <v>206</v>
      </c>
      <c r="L126" s="76"/>
      <c r="M126" s="76" t="s">
        <v>24</v>
      </c>
      <c r="N126" s="75">
        <v>1</v>
      </c>
      <c r="O126" s="75">
        <v>9000</v>
      </c>
      <c r="P126" s="75">
        <f t="shared" si="33"/>
        <v>9000</v>
      </c>
      <c r="Q126" s="59" t="s">
        <v>94</v>
      </c>
      <c r="R126" s="70" t="s">
        <v>48</v>
      </c>
      <c r="S126" s="56" t="s">
        <v>37</v>
      </c>
      <c r="T126" s="62" t="s">
        <v>22</v>
      </c>
      <c r="U126" s="76" t="s">
        <v>482</v>
      </c>
      <c r="V126" s="76" t="s">
        <v>483</v>
      </c>
      <c r="W126" s="76">
        <v>0</v>
      </c>
      <c r="X126" s="62"/>
    </row>
    <row r="127" spans="1:24" s="27" customFormat="1" ht="83.25" customHeight="1">
      <c r="A127" s="26">
        <v>122</v>
      </c>
      <c r="B127" s="76" t="s">
        <v>21</v>
      </c>
      <c r="C127" s="76" t="s">
        <v>23</v>
      </c>
      <c r="D127" s="57" t="s">
        <v>73</v>
      </c>
      <c r="E127" s="57" t="s">
        <v>170</v>
      </c>
      <c r="F127" s="57" t="s">
        <v>171</v>
      </c>
      <c r="G127" s="57" t="s">
        <v>170</v>
      </c>
      <c r="H127" s="57" t="s">
        <v>171</v>
      </c>
      <c r="I127" s="57" t="s">
        <v>128</v>
      </c>
      <c r="J127" s="57" t="s">
        <v>126</v>
      </c>
      <c r="K127" s="76" t="s">
        <v>205</v>
      </c>
      <c r="L127" s="76"/>
      <c r="M127" s="76" t="s">
        <v>24</v>
      </c>
      <c r="N127" s="75">
        <v>1</v>
      </c>
      <c r="O127" s="75">
        <v>9732142.8499999996</v>
      </c>
      <c r="P127" s="75">
        <f t="shared" si="33"/>
        <v>9732142.8499999996</v>
      </c>
      <c r="Q127" s="75" t="s">
        <v>25</v>
      </c>
      <c r="R127" s="70" t="s">
        <v>48</v>
      </c>
      <c r="S127" s="56" t="s">
        <v>37</v>
      </c>
      <c r="T127" s="62" t="s">
        <v>22</v>
      </c>
      <c r="U127" s="76" t="s">
        <v>482</v>
      </c>
      <c r="V127" s="76" t="s">
        <v>483</v>
      </c>
      <c r="W127" s="76">
        <v>0</v>
      </c>
      <c r="X127" s="62"/>
    </row>
    <row r="128" spans="1:24" s="27" customFormat="1" ht="76.5">
      <c r="A128" s="26">
        <v>123</v>
      </c>
      <c r="B128" s="76" t="s">
        <v>21</v>
      </c>
      <c r="C128" s="76" t="s">
        <v>23</v>
      </c>
      <c r="D128" s="57" t="s">
        <v>73</v>
      </c>
      <c r="E128" s="57" t="s">
        <v>170</v>
      </c>
      <c r="F128" s="57" t="s">
        <v>171</v>
      </c>
      <c r="G128" s="57" t="s">
        <v>170</v>
      </c>
      <c r="H128" s="57" t="s">
        <v>171</v>
      </c>
      <c r="I128" s="57" t="s">
        <v>129</v>
      </c>
      <c r="J128" s="57" t="s">
        <v>127</v>
      </c>
      <c r="K128" s="76" t="s">
        <v>205</v>
      </c>
      <c r="L128" s="76"/>
      <c r="M128" s="76" t="s">
        <v>24</v>
      </c>
      <c r="N128" s="75">
        <v>1</v>
      </c>
      <c r="O128" s="75">
        <v>15388999.999999998</v>
      </c>
      <c r="P128" s="75">
        <f t="shared" si="33"/>
        <v>15388999.999999998</v>
      </c>
      <c r="Q128" s="75" t="s">
        <v>25</v>
      </c>
      <c r="R128" s="70" t="s">
        <v>48</v>
      </c>
      <c r="S128" s="56" t="s">
        <v>37</v>
      </c>
      <c r="T128" s="62" t="s">
        <v>22</v>
      </c>
      <c r="U128" s="76" t="s">
        <v>482</v>
      </c>
      <c r="V128" s="76" t="s">
        <v>483</v>
      </c>
      <c r="W128" s="76">
        <v>0</v>
      </c>
      <c r="X128" s="62"/>
    </row>
    <row r="129" spans="1:96" s="27" customFormat="1" ht="76.5">
      <c r="A129" s="26">
        <v>124</v>
      </c>
      <c r="B129" s="76" t="s">
        <v>21</v>
      </c>
      <c r="C129" s="76" t="s">
        <v>23</v>
      </c>
      <c r="D129" s="57" t="s">
        <v>324</v>
      </c>
      <c r="E129" s="57" t="s">
        <v>364</v>
      </c>
      <c r="F129" s="57" t="s">
        <v>326</v>
      </c>
      <c r="G129" s="57" t="s">
        <v>364</v>
      </c>
      <c r="H129" s="57" t="s">
        <v>326</v>
      </c>
      <c r="I129" s="57" t="s">
        <v>390</v>
      </c>
      <c r="J129" s="57" t="s">
        <v>389</v>
      </c>
      <c r="K129" s="76" t="s">
        <v>206</v>
      </c>
      <c r="L129" s="76"/>
      <c r="M129" s="76" t="s">
        <v>24</v>
      </c>
      <c r="N129" s="75">
        <v>1</v>
      </c>
      <c r="O129" s="75">
        <v>765000</v>
      </c>
      <c r="P129" s="75">
        <f t="shared" si="33"/>
        <v>765000</v>
      </c>
      <c r="Q129" s="75" t="s">
        <v>25</v>
      </c>
      <c r="R129" s="70" t="s">
        <v>48</v>
      </c>
      <c r="S129" s="56" t="s">
        <v>37</v>
      </c>
      <c r="T129" s="62" t="s">
        <v>22</v>
      </c>
      <c r="U129" s="76" t="s">
        <v>482</v>
      </c>
      <c r="V129" s="76" t="s">
        <v>483</v>
      </c>
      <c r="W129" s="76">
        <v>0</v>
      </c>
      <c r="X129" s="62"/>
    </row>
    <row r="130" spans="1:96" ht="76.5">
      <c r="A130" s="26">
        <v>125</v>
      </c>
      <c r="B130" s="56" t="s">
        <v>21</v>
      </c>
      <c r="C130" s="76" t="s">
        <v>23</v>
      </c>
      <c r="D130" s="57" t="s">
        <v>324</v>
      </c>
      <c r="E130" s="57" t="s">
        <v>325</v>
      </c>
      <c r="F130" s="57" t="s">
        <v>326</v>
      </c>
      <c r="G130" s="57" t="s">
        <v>325</v>
      </c>
      <c r="H130" s="57" t="s">
        <v>326</v>
      </c>
      <c r="I130" s="76" t="s">
        <v>327</v>
      </c>
      <c r="J130" s="57" t="s">
        <v>235</v>
      </c>
      <c r="K130" s="76" t="s">
        <v>206</v>
      </c>
      <c r="L130" s="76"/>
      <c r="M130" s="76" t="s">
        <v>24</v>
      </c>
      <c r="N130" s="75">
        <v>1</v>
      </c>
      <c r="O130" s="75">
        <v>667321.42000000004</v>
      </c>
      <c r="P130" s="75">
        <f>O130*N130</f>
        <v>667321.42000000004</v>
      </c>
      <c r="Q130" s="59" t="s">
        <v>103</v>
      </c>
      <c r="R130" s="54" t="s">
        <v>48</v>
      </c>
      <c r="S130" s="76" t="s">
        <v>37</v>
      </c>
      <c r="T130" s="76" t="s">
        <v>22</v>
      </c>
      <c r="U130" s="76" t="s">
        <v>482</v>
      </c>
      <c r="V130" s="76" t="s">
        <v>483</v>
      </c>
      <c r="W130" s="76">
        <v>0</v>
      </c>
      <c r="X130" s="62"/>
    </row>
    <row r="131" spans="1:96" ht="76.5">
      <c r="A131" s="93">
        <v>126</v>
      </c>
      <c r="B131" s="93" t="s">
        <v>21</v>
      </c>
      <c r="C131" s="93" t="s">
        <v>23</v>
      </c>
      <c r="D131" s="94" t="s">
        <v>324</v>
      </c>
      <c r="E131" s="94" t="s">
        <v>325</v>
      </c>
      <c r="F131" s="94" t="s">
        <v>326</v>
      </c>
      <c r="G131" s="94" t="s">
        <v>325</v>
      </c>
      <c r="H131" s="94" t="s">
        <v>326</v>
      </c>
      <c r="I131" s="94" t="s">
        <v>682</v>
      </c>
      <c r="J131" s="94" t="s">
        <v>681</v>
      </c>
      <c r="K131" s="76" t="s">
        <v>206</v>
      </c>
      <c r="L131" s="93"/>
      <c r="M131" s="96" t="s">
        <v>680</v>
      </c>
      <c r="N131" s="95">
        <v>1</v>
      </c>
      <c r="O131" s="95">
        <v>41200</v>
      </c>
      <c r="P131" s="95">
        <f t="shared" ref="P131:P132" si="34">O131*N131</f>
        <v>41200</v>
      </c>
      <c r="Q131" s="95" t="s">
        <v>25</v>
      </c>
      <c r="R131" s="123" t="s">
        <v>207</v>
      </c>
      <c r="S131" s="124" t="s">
        <v>751</v>
      </c>
      <c r="T131" s="93" t="s">
        <v>22</v>
      </c>
      <c r="U131" s="76" t="s">
        <v>482</v>
      </c>
      <c r="V131" s="76" t="s">
        <v>483</v>
      </c>
      <c r="W131" s="93">
        <v>0</v>
      </c>
      <c r="X131" s="102"/>
    </row>
    <row r="132" spans="1:96" ht="76.5">
      <c r="A132" s="93">
        <v>127</v>
      </c>
      <c r="B132" s="93" t="s">
        <v>21</v>
      </c>
      <c r="C132" s="93" t="s">
        <v>23</v>
      </c>
      <c r="D132" s="94" t="s">
        <v>324</v>
      </c>
      <c r="E132" s="94" t="s">
        <v>325</v>
      </c>
      <c r="F132" s="94" t="s">
        <v>326</v>
      </c>
      <c r="G132" s="94" t="s">
        <v>325</v>
      </c>
      <c r="H132" s="94" t="s">
        <v>326</v>
      </c>
      <c r="I132" s="94" t="s">
        <v>684</v>
      </c>
      <c r="J132" s="94" t="s">
        <v>683</v>
      </c>
      <c r="K132" s="76" t="s">
        <v>206</v>
      </c>
      <c r="L132" s="93"/>
      <c r="M132" s="96" t="s">
        <v>680</v>
      </c>
      <c r="N132" s="95">
        <v>1</v>
      </c>
      <c r="O132" s="95">
        <v>14000</v>
      </c>
      <c r="P132" s="95">
        <f t="shared" si="34"/>
        <v>14000</v>
      </c>
      <c r="Q132" s="95" t="s">
        <v>25</v>
      </c>
      <c r="R132" s="123" t="s">
        <v>207</v>
      </c>
      <c r="S132" s="124" t="s">
        <v>751</v>
      </c>
      <c r="T132" s="93" t="s">
        <v>22</v>
      </c>
      <c r="U132" s="76" t="s">
        <v>482</v>
      </c>
      <c r="V132" s="76" t="s">
        <v>483</v>
      </c>
      <c r="W132" s="93">
        <v>0</v>
      </c>
      <c r="X132" s="102"/>
    </row>
    <row r="133" spans="1:96" s="32" customFormat="1" ht="63.75">
      <c r="A133" s="26">
        <v>129</v>
      </c>
      <c r="B133" s="57" t="s">
        <v>21</v>
      </c>
      <c r="C133" s="76" t="s">
        <v>23</v>
      </c>
      <c r="D133" s="76" t="s">
        <v>198</v>
      </c>
      <c r="E133" s="76" t="s">
        <v>199</v>
      </c>
      <c r="F133" s="76" t="s">
        <v>174</v>
      </c>
      <c r="G133" s="76" t="s">
        <v>199</v>
      </c>
      <c r="H133" s="76" t="s">
        <v>174</v>
      </c>
      <c r="I133" s="77" t="s">
        <v>333</v>
      </c>
      <c r="J133" s="77" t="s">
        <v>332</v>
      </c>
      <c r="K133" s="76" t="s">
        <v>205</v>
      </c>
      <c r="L133" s="54" t="s">
        <v>220</v>
      </c>
      <c r="M133" s="76" t="s">
        <v>24</v>
      </c>
      <c r="N133" s="75">
        <v>1</v>
      </c>
      <c r="O133" s="75">
        <v>1145833.33</v>
      </c>
      <c r="P133" s="75">
        <f t="shared" ref="P133:P135" si="35">O133*N133</f>
        <v>1145833.33</v>
      </c>
      <c r="Q133" s="75" t="s">
        <v>25</v>
      </c>
      <c r="R133" s="76" t="s">
        <v>478</v>
      </c>
      <c r="S133" s="76" t="s">
        <v>479</v>
      </c>
      <c r="T133" s="76" t="s">
        <v>22</v>
      </c>
      <c r="U133" s="76" t="s">
        <v>482</v>
      </c>
      <c r="V133" s="76" t="s">
        <v>483</v>
      </c>
      <c r="W133" s="76">
        <v>0</v>
      </c>
      <c r="X133" s="62"/>
    </row>
    <row r="134" spans="1:96" s="32" customFormat="1" ht="63.75">
      <c r="A134" s="76">
        <v>130</v>
      </c>
      <c r="B134" s="57" t="s">
        <v>21</v>
      </c>
      <c r="C134" s="76" t="s">
        <v>23</v>
      </c>
      <c r="D134" s="76" t="s">
        <v>198</v>
      </c>
      <c r="E134" s="76" t="s">
        <v>199</v>
      </c>
      <c r="F134" s="76" t="s">
        <v>174</v>
      </c>
      <c r="G134" s="76" t="s">
        <v>199</v>
      </c>
      <c r="H134" s="76" t="s">
        <v>174</v>
      </c>
      <c r="I134" s="77" t="s">
        <v>333</v>
      </c>
      <c r="J134" s="77" t="s">
        <v>332</v>
      </c>
      <c r="K134" s="76" t="s">
        <v>205</v>
      </c>
      <c r="L134" s="76"/>
      <c r="M134" s="76" t="s">
        <v>24</v>
      </c>
      <c r="N134" s="75">
        <v>1</v>
      </c>
      <c r="O134" s="75">
        <v>5729166.6600000001</v>
      </c>
      <c r="P134" s="75">
        <f t="shared" ref="P134" si="36">O134*N134</f>
        <v>5729166.6600000001</v>
      </c>
      <c r="Q134" s="75" t="s">
        <v>25</v>
      </c>
      <c r="R134" s="76" t="s">
        <v>477</v>
      </c>
      <c r="S134" s="76" t="s">
        <v>476</v>
      </c>
      <c r="T134" s="76" t="s">
        <v>22</v>
      </c>
      <c r="U134" s="76" t="s">
        <v>482</v>
      </c>
      <c r="V134" s="76" t="s">
        <v>483</v>
      </c>
      <c r="W134" s="76">
        <v>0</v>
      </c>
      <c r="X134" s="62"/>
    </row>
    <row r="135" spans="1:96" s="88" customFormat="1" ht="76.5">
      <c r="A135" s="26">
        <v>131</v>
      </c>
      <c r="B135" s="76" t="s">
        <v>21</v>
      </c>
      <c r="C135" s="76" t="s">
        <v>23</v>
      </c>
      <c r="D135" s="57" t="s">
        <v>198</v>
      </c>
      <c r="E135" s="57" t="s">
        <v>391</v>
      </c>
      <c r="F135" s="57" t="s">
        <v>174</v>
      </c>
      <c r="G135" s="57" t="s">
        <v>391</v>
      </c>
      <c r="H135" s="57" t="s">
        <v>174</v>
      </c>
      <c r="I135" s="77" t="s">
        <v>393</v>
      </c>
      <c r="J135" s="77" t="s">
        <v>392</v>
      </c>
      <c r="K135" s="76" t="s">
        <v>206</v>
      </c>
      <c r="L135" s="76"/>
      <c r="M135" s="76" t="s">
        <v>24</v>
      </c>
      <c r="N135" s="75">
        <v>1</v>
      </c>
      <c r="O135" s="75">
        <v>98214.29</v>
      </c>
      <c r="P135" s="75">
        <f t="shared" si="35"/>
        <v>98214.29</v>
      </c>
      <c r="Q135" s="59" t="s">
        <v>103</v>
      </c>
      <c r="R135" s="76" t="s">
        <v>223</v>
      </c>
      <c r="S135" s="76" t="s">
        <v>224</v>
      </c>
      <c r="T135" s="76" t="s">
        <v>22</v>
      </c>
      <c r="U135" s="76" t="s">
        <v>482</v>
      </c>
      <c r="V135" s="76" t="s">
        <v>483</v>
      </c>
      <c r="W135" s="76">
        <v>0</v>
      </c>
      <c r="X135" s="62"/>
    </row>
    <row r="136" spans="1:96" ht="79.5" customHeight="1">
      <c r="A136" s="26">
        <v>132</v>
      </c>
      <c r="B136" s="76" t="s">
        <v>21</v>
      </c>
      <c r="C136" s="76" t="s">
        <v>23</v>
      </c>
      <c r="D136" s="76" t="s">
        <v>238</v>
      </c>
      <c r="E136" s="76" t="s">
        <v>242</v>
      </c>
      <c r="F136" s="76" t="s">
        <v>239</v>
      </c>
      <c r="G136" s="76" t="s">
        <v>241</v>
      </c>
      <c r="H136" s="76" t="s">
        <v>240</v>
      </c>
      <c r="I136" s="76" t="s">
        <v>486</v>
      </c>
      <c r="J136" s="76" t="s">
        <v>485</v>
      </c>
      <c r="K136" s="76" t="s">
        <v>206</v>
      </c>
      <c r="L136" s="76"/>
      <c r="M136" s="76" t="s">
        <v>24</v>
      </c>
      <c r="N136" s="75">
        <v>1</v>
      </c>
      <c r="O136" s="75">
        <v>509464.28</v>
      </c>
      <c r="P136" s="75">
        <f t="shared" ref="P136:P140" si="37">O136*N136</f>
        <v>509464.28</v>
      </c>
      <c r="Q136" s="75" t="s">
        <v>25</v>
      </c>
      <c r="R136" s="54" t="s">
        <v>430</v>
      </c>
      <c r="S136" s="54" t="s">
        <v>429</v>
      </c>
      <c r="T136" s="59" t="s">
        <v>22</v>
      </c>
      <c r="U136" s="76" t="s">
        <v>482</v>
      </c>
      <c r="V136" s="76" t="s">
        <v>483</v>
      </c>
      <c r="W136" s="76">
        <v>0</v>
      </c>
      <c r="X136" s="76"/>
    </row>
    <row r="137" spans="1:96" s="88" customFormat="1" ht="89.25">
      <c r="A137" s="26">
        <v>133</v>
      </c>
      <c r="B137" s="76" t="s">
        <v>91</v>
      </c>
      <c r="C137" s="76" t="s">
        <v>23</v>
      </c>
      <c r="D137" s="76" t="s">
        <v>85</v>
      </c>
      <c r="E137" s="76" t="s">
        <v>189</v>
      </c>
      <c r="F137" s="76" t="s">
        <v>190</v>
      </c>
      <c r="G137" s="76" t="s">
        <v>191</v>
      </c>
      <c r="H137" s="76" t="s">
        <v>192</v>
      </c>
      <c r="I137" s="57" t="s">
        <v>403</v>
      </c>
      <c r="J137" s="76" t="s">
        <v>404</v>
      </c>
      <c r="K137" s="76" t="s">
        <v>206</v>
      </c>
      <c r="L137" s="76"/>
      <c r="M137" s="76" t="s">
        <v>24</v>
      </c>
      <c r="N137" s="75">
        <v>1</v>
      </c>
      <c r="O137" s="75">
        <v>1850040</v>
      </c>
      <c r="P137" s="75">
        <f t="shared" si="37"/>
        <v>1850040</v>
      </c>
      <c r="Q137" s="75" t="s">
        <v>25</v>
      </c>
      <c r="R137" s="54" t="s">
        <v>430</v>
      </c>
      <c r="S137" s="54" t="s">
        <v>429</v>
      </c>
      <c r="T137" s="76" t="s">
        <v>22</v>
      </c>
      <c r="U137" s="76" t="s">
        <v>482</v>
      </c>
      <c r="V137" s="76" t="s">
        <v>483</v>
      </c>
      <c r="W137" s="76">
        <v>0</v>
      </c>
      <c r="X137" s="76"/>
    </row>
    <row r="138" spans="1:96" s="88" customFormat="1" ht="63.75">
      <c r="A138" s="26">
        <v>134</v>
      </c>
      <c r="B138" s="76" t="s">
        <v>91</v>
      </c>
      <c r="C138" s="57" t="s">
        <v>23</v>
      </c>
      <c r="D138" s="57" t="s">
        <v>198</v>
      </c>
      <c r="E138" s="57" t="s">
        <v>391</v>
      </c>
      <c r="F138" s="57" t="s">
        <v>174</v>
      </c>
      <c r="G138" s="57" t="s">
        <v>391</v>
      </c>
      <c r="H138" s="57" t="s">
        <v>174</v>
      </c>
      <c r="I138" s="77" t="s">
        <v>197</v>
      </c>
      <c r="J138" s="77" t="s">
        <v>196</v>
      </c>
      <c r="K138" s="76" t="s">
        <v>26</v>
      </c>
      <c r="L138" s="76" t="s">
        <v>405</v>
      </c>
      <c r="M138" s="76" t="s">
        <v>24</v>
      </c>
      <c r="N138" s="75">
        <v>1</v>
      </c>
      <c r="O138" s="75">
        <v>50942560</v>
      </c>
      <c r="P138" s="75">
        <f t="shared" si="37"/>
        <v>50942560</v>
      </c>
      <c r="Q138" s="75" t="s">
        <v>25</v>
      </c>
      <c r="R138" s="76" t="s">
        <v>430</v>
      </c>
      <c r="S138" s="76" t="s">
        <v>475</v>
      </c>
      <c r="T138" s="76" t="s">
        <v>22</v>
      </c>
      <c r="U138" s="76" t="s">
        <v>482</v>
      </c>
      <c r="V138" s="76" t="s">
        <v>483</v>
      </c>
      <c r="W138" s="76">
        <v>0</v>
      </c>
      <c r="X138" s="76"/>
    </row>
    <row r="139" spans="1:96" s="88" customFormat="1" ht="95.25" customHeight="1">
      <c r="A139" s="26">
        <v>135</v>
      </c>
      <c r="B139" s="76" t="s">
        <v>91</v>
      </c>
      <c r="C139" s="57" t="s">
        <v>209</v>
      </c>
      <c r="D139" s="57" t="s">
        <v>210</v>
      </c>
      <c r="E139" s="57" t="s">
        <v>211</v>
      </c>
      <c r="F139" s="57" t="s">
        <v>212</v>
      </c>
      <c r="G139" s="57" t="s">
        <v>211</v>
      </c>
      <c r="H139" s="57" t="s">
        <v>212</v>
      </c>
      <c r="I139" s="57" t="s">
        <v>213</v>
      </c>
      <c r="J139" s="57" t="s">
        <v>214</v>
      </c>
      <c r="K139" s="76" t="s">
        <v>205</v>
      </c>
      <c r="L139" s="57"/>
      <c r="M139" s="76" t="s">
        <v>24</v>
      </c>
      <c r="N139" s="75">
        <v>1</v>
      </c>
      <c r="O139" s="75">
        <v>1500000</v>
      </c>
      <c r="P139" s="75">
        <f t="shared" si="37"/>
        <v>1500000</v>
      </c>
      <c r="Q139" s="59" t="s">
        <v>25</v>
      </c>
      <c r="R139" s="76" t="s">
        <v>430</v>
      </c>
      <c r="S139" s="76" t="s">
        <v>475</v>
      </c>
      <c r="T139" s="76" t="s">
        <v>22</v>
      </c>
      <c r="U139" s="76" t="s">
        <v>482</v>
      </c>
      <c r="V139" s="76" t="s">
        <v>483</v>
      </c>
      <c r="W139" s="76">
        <v>0</v>
      </c>
      <c r="X139" s="112"/>
    </row>
    <row r="140" spans="1:96" s="92" customFormat="1" ht="63.75">
      <c r="A140" s="76">
        <v>136</v>
      </c>
      <c r="B140" s="76" t="s">
        <v>21</v>
      </c>
      <c r="C140" s="76" t="s">
        <v>23</v>
      </c>
      <c r="D140" s="76" t="s">
        <v>193</v>
      </c>
      <c r="E140" s="76" t="s">
        <v>194</v>
      </c>
      <c r="F140" s="76" t="s">
        <v>195</v>
      </c>
      <c r="G140" s="76" t="s">
        <v>194</v>
      </c>
      <c r="H140" s="76" t="s">
        <v>195</v>
      </c>
      <c r="I140" s="76" t="s">
        <v>481</v>
      </c>
      <c r="J140" s="76" t="s">
        <v>480</v>
      </c>
      <c r="K140" s="76" t="s">
        <v>205</v>
      </c>
      <c r="L140" s="54"/>
      <c r="M140" s="76" t="s">
        <v>24</v>
      </c>
      <c r="N140" s="75">
        <v>1</v>
      </c>
      <c r="O140" s="75">
        <v>3500000</v>
      </c>
      <c r="P140" s="75">
        <f t="shared" si="37"/>
        <v>3500000</v>
      </c>
      <c r="Q140" s="75" t="s">
        <v>25</v>
      </c>
      <c r="R140" s="76" t="s">
        <v>430</v>
      </c>
      <c r="S140" s="76" t="s">
        <v>475</v>
      </c>
      <c r="T140" s="76" t="s">
        <v>22</v>
      </c>
      <c r="U140" s="76" t="s">
        <v>482</v>
      </c>
      <c r="V140" s="76" t="s">
        <v>483</v>
      </c>
      <c r="W140" s="76">
        <v>0</v>
      </c>
      <c r="X140" s="76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</row>
    <row r="141" spans="1:96" s="88" customFormat="1" ht="63.75">
      <c r="A141" s="26">
        <v>137</v>
      </c>
      <c r="B141" s="76" t="s">
        <v>91</v>
      </c>
      <c r="C141" s="76" t="s">
        <v>23</v>
      </c>
      <c r="D141" s="30" t="s">
        <v>334</v>
      </c>
      <c r="E141" s="30" t="s">
        <v>335</v>
      </c>
      <c r="F141" s="30" t="s">
        <v>336</v>
      </c>
      <c r="G141" s="30" t="s">
        <v>337</v>
      </c>
      <c r="H141" s="30" t="s">
        <v>338</v>
      </c>
      <c r="I141" s="30" t="s">
        <v>339</v>
      </c>
      <c r="J141" s="30" t="s">
        <v>340</v>
      </c>
      <c r="K141" s="76" t="s">
        <v>205</v>
      </c>
      <c r="L141" s="28" t="s">
        <v>220</v>
      </c>
      <c r="M141" s="76" t="s">
        <v>24</v>
      </c>
      <c r="N141" s="75">
        <v>1</v>
      </c>
      <c r="O141" s="29">
        <v>1962191.66</v>
      </c>
      <c r="P141" s="29">
        <f>O141*N141</f>
        <v>1962191.66</v>
      </c>
      <c r="Q141" s="75" t="s">
        <v>25</v>
      </c>
      <c r="R141" s="76" t="s">
        <v>478</v>
      </c>
      <c r="S141" s="76" t="s">
        <v>479</v>
      </c>
      <c r="T141" s="62" t="s">
        <v>22</v>
      </c>
      <c r="U141" s="76" t="s">
        <v>482</v>
      </c>
      <c r="V141" s="76" t="s">
        <v>483</v>
      </c>
      <c r="W141" s="76">
        <v>0</v>
      </c>
      <c r="X141" s="36"/>
    </row>
    <row r="142" spans="1:96" s="88" customFormat="1" ht="63.75">
      <c r="A142" s="93">
        <v>138</v>
      </c>
      <c r="B142" s="93" t="s">
        <v>91</v>
      </c>
      <c r="C142" s="93" t="s">
        <v>23</v>
      </c>
      <c r="D142" s="30" t="s">
        <v>334</v>
      </c>
      <c r="E142" s="30" t="s">
        <v>335</v>
      </c>
      <c r="F142" s="30" t="s">
        <v>336</v>
      </c>
      <c r="G142" s="30" t="s">
        <v>337</v>
      </c>
      <c r="H142" s="30" t="s">
        <v>338</v>
      </c>
      <c r="I142" s="30" t="s">
        <v>339</v>
      </c>
      <c r="J142" s="30" t="s">
        <v>340</v>
      </c>
      <c r="K142" s="93" t="s">
        <v>398</v>
      </c>
      <c r="L142" s="28"/>
      <c r="M142" s="93" t="s">
        <v>24</v>
      </c>
      <c r="N142" s="95">
        <v>1</v>
      </c>
      <c r="O142" s="29">
        <v>9810958.3300000001</v>
      </c>
      <c r="P142" s="29">
        <f>O142*N142</f>
        <v>9810958.3300000001</v>
      </c>
      <c r="Q142" s="95" t="s">
        <v>25</v>
      </c>
      <c r="R142" s="76" t="s">
        <v>477</v>
      </c>
      <c r="S142" s="76" t="s">
        <v>476</v>
      </c>
      <c r="T142" s="97" t="s">
        <v>22</v>
      </c>
      <c r="U142" s="93" t="s">
        <v>482</v>
      </c>
      <c r="V142" s="93" t="s">
        <v>483</v>
      </c>
      <c r="W142" s="93">
        <v>0</v>
      </c>
      <c r="X142" s="36"/>
    </row>
    <row r="143" spans="1:96" ht="76.5">
      <c r="A143" s="26">
        <v>142</v>
      </c>
      <c r="B143" s="76" t="s">
        <v>91</v>
      </c>
      <c r="C143" s="76" t="s">
        <v>23</v>
      </c>
      <c r="D143" s="64" t="s">
        <v>198</v>
      </c>
      <c r="E143" s="64" t="s">
        <v>391</v>
      </c>
      <c r="F143" s="64" t="s">
        <v>174</v>
      </c>
      <c r="G143" s="57" t="s">
        <v>391</v>
      </c>
      <c r="H143" s="76" t="s">
        <v>174</v>
      </c>
      <c r="I143" s="57" t="s">
        <v>419</v>
      </c>
      <c r="J143" s="57" t="s">
        <v>418</v>
      </c>
      <c r="K143" s="76" t="s">
        <v>26</v>
      </c>
      <c r="L143" s="76" t="s">
        <v>405</v>
      </c>
      <c r="M143" s="76" t="s">
        <v>24</v>
      </c>
      <c r="N143" s="75">
        <v>1</v>
      </c>
      <c r="O143" s="75">
        <v>6042267.0300000003</v>
      </c>
      <c r="P143" s="1">
        <f>O143*N143</f>
        <v>6042267.0300000003</v>
      </c>
      <c r="Q143" s="95" t="s">
        <v>25</v>
      </c>
      <c r="R143" s="54" t="s">
        <v>484</v>
      </c>
      <c r="S143" s="76" t="s">
        <v>427</v>
      </c>
      <c r="T143" s="62" t="s">
        <v>22</v>
      </c>
      <c r="U143" s="76" t="s">
        <v>482</v>
      </c>
      <c r="V143" s="76" t="s">
        <v>483</v>
      </c>
      <c r="W143" s="76">
        <v>0</v>
      </c>
      <c r="X143" s="62"/>
    </row>
    <row r="144" spans="1:96" ht="76.5">
      <c r="A144" s="26">
        <v>143</v>
      </c>
      <c r="B144" s="76" t="s">
        <v>91</v>
      </c>
      <c r="C144" s="76" t="s">
        <v>100</v>
      </c>
      <c r="D144" s="76" t="s">
        <v>347</v>
      </c>
      <c r="E144" s="57" t="s">
        <v>348</v>
      </c>
      <c r="F144" s="57" t="s">
        <v>348</v>
      </c>
      <c r="G144" s="57" t="s">
        <v>356</v>
      </c>
      <c r="H144" s="57" t="s">
        <v>349</v>
      </c>
      <c r="I144" s="76" t="s">
        <v>357</v>
      </c>
      <c r="J144" s="76" t="s">
        <v>350</v>
      </c>
      <c r="K144" s="76" t="s">
        <v>205</v>
      </c>
      <c r="L144" s="99"/>
      <c r="M144" s="99" t="s">
        <v>98</v>
      </c>
      <c r="N144" s="100">
        <v>7</v>
      </c>
      <c r="O144" s="100">
        <v>62843.75</v>
      </c>
      <c r="P144" s="101">
        <f t="shared" ref="P144:P154" si="38">O144*N144</f>
        <v>439906.25</v>
      </c>
      <c r="Q144" s="59" t="s">
        <v>317</v>
      </c>
      <c r="R144" s="76" t="s">
        <v>223</v>
      </c>
      <c r="S144" s="76" t="s">
        <v>224</v>
      </c>
      <c r="T144" s="62" t="s">
        <v>22</v>
      </c>
      <c r="U144" s="76" t="s">
        <v>482</v>
      </c>
      <c r="V144" s="76" t="s">
        <v>483</v>
      </c>
      <c r="W144" s="76">
        <v>0</v>
      </c>
      <c r="X144" s="76"/>
    </row>
    <row r="145" spans="1:24" ht="76.5">
      <c r="A145" s="26">
        <v>144</v>
      </c>
      <c r="B145" s="76" t="s">
        <v>21</v>
      </c>
      <c r="C145" s="76" t="s">
        <v>100</v>
      </c>
      <c r="D145" s="76" t="s">
        <v>353</v>
      </c>
      <c r="E145" s="57" t="s">
        <v>354</v>
      </c>
      <c r="F145" s="57" t="s">
        <v>354</v>
      </c>
      <c r="G145" s="57" t="s">
        <v>359</v>
      </c>
      <c r="H145" s="57" t="s">
        <v>355</v>
      </c>
      <c r="I145" s="76" t="s">
        <v>672</v>
      </c>
      <c r="J145" s="76" t="s">
        <v>671</v>
      </c>
      <c r="K145" s="76" t="s">
        <v>206</v>
      </c>
      <c r="L145" s="76"/>
      <c r="M145" s="76" t="s">
        <v>98</v>
      </c>
      <c r="N145" s="75">
        <v>1</v>
      </c>
      <c r="O145" s="75">
        <v>86800</v>
      </c>
      <c r="P145" s="1">
        <f t="shared" si="38"/>
        <v>86800</v>
      </c>
      <c r="Q145" s="59" t="s">
        <v>94</v>
      </c>
      <c r="R145" s="76" t="s">
        <v>223</v>
      </c>
      <c r="S145" s="76" t="s">
        <v>224</v>
      </c>
      <c r="T145" s="62" t="s">
        <v>22</v>
      </c>
      <c r="U145" s="76" t="s">
        <v>482</v>
      </c>
      <c r="V145" s="76" t="s">
        <v>483</v>
      </c>
      <c r="W145" s="76">
        <v>0</v>
      </c>
      <c r="X145" s="76"/>
    </row>
    <row r="146" spans="1:24" ht="76.5">
      <c r="A146" s="93">
        <v>145</v>
      </c>
      <c r="B146" s="76" t="s">
        <v>21</v>
      </c>
      <c r="C146" s="76" t="s">
        <v>100</v>
      </c>
      <c r="D146" s="76" t="s">
        <v>360</v>
      </c>
      <c r="E146" s="76" t="s">
        <v>361</v>
      </c>
      <c r="F146" s="76" t="s">
        <v>361</v>
      </c>
      <c r="G146" s="76" t="s">
        <v>362</v>
      </c>
      <c r="H146" s="76" t="s">
        <v>363</v>
      </c>
      <c r="I146" s="76" t="s">
        <v>674</v>
      </c>
      <c r="J146" s="76" t="s">
        <v>673</v>
      </c>
      <c r="K146" s="76" t="s">
        <v>205</v>
      </c>
      <c r="L146" s="76"/>
      <c r="M146" s="76" t="s">
        <v>66</v>
      </c>
      <c r="N146" s="75">
        <v>1</v>
      </c>
      <c r="O146" s="75">
        <v>20358064.280000001</v>
      </c>
      <c r="P146" s="75">
        <f t="shared" ref="P146" si="39">O146*N146</f>
        <v>20358064.280000001</v>
      </c>
      <c r="Q146" s="59" t="s">
        <v>853</v>
      </c>
      <c r="R146" s="54" t="s">
        <v>48</v>
      </c>
      <c r="S146" s="76" t="s">
        <v>95</v>
      </c>
      <c r="T146" s="62" t="s">
        <v>22</v>
      </c>
      <c r="U146" s="76" t="s">
        <v>482</v>
      </c>
      <c r="V146" s="76" t="s">
        <v>483</v>
      </c>
      <c r="W146" s="76">
        <v>0</v>
      </c>
      <c r="X146" s="76"/>
    </row>
    <row r="147" spans="1:24" ht="76.5">
      <c r="A147" s="93">
        <v>146</v>
      </c>
      <c r="B147" s="76" t="s">
        <v>21</v>
      </c>
      <c r="C147" s="76" t="s">
        <v>100</v>
      </c>
      <c r="D147" s="76" t="s">
        <v>360</v>
      </c>
      <c r="E147" s="76" t="s">
        <v>361</v>
      </c>
      <c r="F147" s="76" t="s">
        <v>361</v>
      </c>
      <c r="G147" s="76" t="s">
        <v>362</v>
      </c>
      <c r="H147" s="76" t="s">
        <v>363</v>
      </c>
      <c r="I147" s="76" t="s">
        <v>676</v>
      </c>
      <c r="J147" s="76" t="s">
        <v>675</v>
      </c>
      <c r="K147" s="76" t="s">
        <v>205</v>
      </c>
      <c r="L147" s="76"/>
      <c r="M147" s="76" t="s">
        <v>66</v>
      </c>
      <c r="N147" s="75">
        <v>1</v>
      </c>
      <c r="O147" s="75">
        <v>5748292.8499999996</v>
      </c>
      <c r="P147" s="75">
        <f t="shared" ref="P147:P148" si="40">O147*N147</f>
        <v>5748292.8499999996</v>
      </c>
      <c r="Q147" s="59" t="s">
        <v>103</v>
      </c>
      <c r="R147" s="54" t="s">
        <v>48</v>
      </c>
      <c r="S147" s="76" t="s">
        <v>95</v>
      </c>
      <c r="T147" s="62" t="s">
        <v>22</v>
      </c>
      <c r="U147" s="76" t="s">
        <v>482</v>
      </c>
      <c r="V147" s="76" t="s">
        <v>483</v>
      </c>
      <c r="W147" s="76">
        <v>0</v>
      </c>
      <c r="X147" s="76"/>
    </row>
    <row r="148" spans="1:24" ht="76.5">
      <c r="A148" s="93">
        <v>147</v>
      </c>
      <c r="B148" s="76" t="s">
        <v>21</v>
      </c>
      <c r="C148" s="76" t="s">
        <v>100</v>
      </c>
      <c r="D148" s="76" t="s">
        <v>360</v>
      </c>
      <c r="E148" s="76" t="s">
        <v>361</v>
      </c>
      <c r="F148" s="76" t="s">
        <v>361</v>
      </c>
      <c r="G148" s="76" t="s">
        <v>362</v>
      </c>
      <c r="H148" s="76" t="s">
        <v>363</v>
      </c>
      <c r="I148" s="76" t="s">
        <v>677</v>
      </c>
      <c r="J148" s="76" t="s">
        <v>743</v>
      </c>
      <c r="K148" s="76" t="s">
        <v>205</v>
      </c>
      <c r="L148" s="76"/>
      <c r="M148" s="76" t="s">
        <v>66</v>
      </c>
      <c r="N148" s="75">
        <v>1</v>
      </c>
      <c r="O148" s="75">
        <v>2789285.71</v>
      </c>
      <c r="P148" s="75">
        <f t="shared" si="40"/>
        <v>2789285.71</v>
      </c>
      <c r="Q148" s="59" t="s">
        <v>97</v>
      </c>
      <c r="R148" s="54" t="s">
        <v>48</v>
      </c>
      <c r="S148" s="76" t="s">
        <v>95</v>
      </c>
      <c r="T148" s="62" t="s">
        <v>22</v>
      </c>
      <c r="U148" s="76" t="s">
        <v>482</v>
      </c>
      <c r="V148" s="76" t="s">
        <v>483</v>
      </c>
      <c r="W148" s="76">
        <v>0</v>
      </c>
      <c r="X148" s="76"/>
    </row>
    <row r="149" spans="1:24" s="88" customFormat="1" ht="63.75">
      <c r="A149" s="26">
        <v>148</v>
      </c>
      <c r="B149" s="76" t="s">
        <v>21</v>
      </c>
      <c r="C149" s="76" t="s">
        <v>23</v>
      </c>
      <c r="D149" s="57" t="s">
        <v>227</v>
      </c>
      <c r="E149" s="57" t="s">
        <v>228</v>
      </c>
      <c r="F149" s="57" t="s">
        <v>229</v>
      </c>
      <c r="G149" s="57" t="s">
        <v>230</v>
      </c>
      <c r="H149" s="57" t="s">
        <v>229</v>
      </c>
      <c r="I149" s="57" t="s">
        <v>231</v>
      </c>
      <c r="J149" s="57" t="s">
        <v>232</v>
      </c>
      <c r="K149" s="93" t="s">
        <v>26</v>
      </c>
      <c r="L149" s="93" t="s">
        <v>761</v>
      </c>
      <c r="M149" s="76" t="s">
        <v>24</v>
      </c>
      <c r="N149" s="75">
        <v>1</v>
      </c>
      <c r="O149" s="75">
        <v>89285.71</v>
      </c>
      <c r="P149" s="75">
        <f t="shared" si="38"/>
        <v>89285.71</v>
      </c>
      <c r="Q149" s="75" t="s">
        <v>25</v>
      </c>
      <c r="R149" s="76" t="s">
        <v>442</v>
      </c>
      <c r="S149" s="76" t="s">
        <v>515</v>
      </c>
      <c r="T149" s="62" t="s">
        <v>22</v>
      </c>
      <c r="U149" s="76" t="s">
        <v>482</v>
      </c>
      <c r="V149" s="76" t="s">
        <v>483</v>
      </c>
      <c r="W149" s="76">
        <v>0</v>
      </c>
      <c r="X149" s="76"/>
    </row>
    <row r="150" spans="1:24" s="88" customFormat="1" ht="63.75">
      <c r="A150" s="26">
        <v>149</v>
      </c>
      <c r="B150" s="76" t="s">
        <v>21</v>
      </c>
      <c r="C150" s="76" t="s">
        <v>23</v>
      </c>
      <c r="D150" s="57" t="s">
        <v>227</v>
      </c>
      <c r="E150" s="57" t="s">
        <v>228</v>
      </c>
      <c r="F150" s="57" t="s">
        <v>229</v>
      </c>
      <c r="G150" s="57" t="s">
        <v>230</v>
      </c>
      <c r="H150" s="57" t="s">
        <v>229</v>
      </c>
      <c r="I150" s="57" t="s">
        <v>231</v>
      </c>
      <c r="J150" s="57" t="s">
        <v>232</v>
      </c>
      <c r="K150" s="93" t="s">
        <v>26</v>
      </c>
      <c r="L150" s="93" t="s">
        <v>761</v>
      </c>
      <c r="M150" s="76" t="s">
        <v>24</v>
      </c>
      <c r="N150" s="75">
        <v>1</v>
      </c>
      <c r="O150" s="75">
        <v>446428.57</v>
      </c>
      <c r="P150" s="75">
        <f t="shared" si="38"/>
        <v>446428.57</v>
      </c>
      <c r="Q150" s="75" t="s">
        <v>25</v>
      </c>
      <c r="R150" s="76" t="s">
        <v>442</v>
      </c>
      <c r="S150" s="76" t="s">
        <v>515</v>
      </c>
      <c r="T150" s="62" t="s">
        <v>22</v>
      </c>
      <c r="U150" s="76" t="s">
        <v>482</v>
      </c>
      <c r="V150" s="76" t="s">
        <v>483</v>
      </c>
      <c r="W150" s="76">
        <v>0</v>
      </c>
      <c r="X150" s="76"/>
    </row>
    <row r="151" spans="1:24" s="88" customFormat="1" ht="63.75">
      <c r="A151" s="26">
        <v>150</v>
      </c>
      <c r="B151" s="76" t="s">
        <v>21</v>
      </c>
      <c r="C151" s="76" t="s">
        <v>23</v>
      </c>
      <c r="D151" s="57" t="s">
        <v>227</v>
      </c>
      <c r="E151" s="57" t="s">
        <v>228</v>
      </c>
      <c r="F151" s="57" t="s">
        <v>229</v>
      </c>
      <c r="G151" s="57" t="s">
        <v>230</v>
      </c>
      <c r="H151" s="57" t="s">
        <v>229</v>
      </c>
      <c r="I151" s="57" t="s">
        <v>231</v>
      </c>
      <c r="J151" s="57" t="s">
        <v>232</v>
      </c>
      <c r="K151" s="93" t="s">
        <v>26</v>
      </c>
      <c r="L151" s="93" t="s">
        <v>761</v>
      </c>
      <c r="M151" s="76" t="s">
        <v>24</v>
      </c>
      <c r="N151" s="75">
        <v>1</v>
      </c>
      <c r="O151" s="75">
        <v>89285.71</v>
      </c>
      <c r="P151" s="75">
        <f t="shared" si="38"/>
        <v>89285.71</v>
      </c>
      <c r="Q151" s="75" t="s">
        <v>25</v>
      </c>
      <c r="R151" s="76" t="s">
        <v>442</v>
      </c>
      <c r="S151" s="76" t="s">
        <v>515</v>
      </c>
      <c r="T151" s="62" t="s">
        <v>22</v>
      </c>
      <c r="U151" s="76" t="s">
        <v>482</v>
      </c>
      <c r="V151" s="76" t="s">
        <v>483</v>
      </c>
      <c r="W151" s="76">
        <v>0</v>
      </c>
      <c r="X151" s="76"/>
    </row>
    <row r="152" spans="1:24" s="88" customFormat="1" ht="63.75">
      <c r="A152" s="26">
        <v>151</v>
      </c>
      <c r="B152" s="76" t="s">
        <v>21</v>
      </c>
      <c r="C152" s="76" t="s">
        <v>23</v>
      </c>
      <c r="D152" s="57" t="s">
        <v>227</v>
      </c>
      <c r="E152" s="57" t="s">
        <v>228</v>
      </c>
      <c r="F152" s="57" t="s">
        <v>229</v>
      </c>
      <c r="G152" s="57" t="s">
        <v>230</v>
      </c>
      <c r="H152" s="57" t="s">
        <v>229</v>
      </c>
      <c r="I152" s="57" t="s">
        <v>231</v>
      </c>
      <c r="J152" s="57" t="s">
        <v>232</v>
      </c>
      <c r="K152" s="93" t="s">
        <v>26</v>
      </c>
      <c r="L152" s="93" t="s">
        <v>761</v>
      </c>
      <c r="M152" s="76" t="s">
        <v>24</v>
      </c>
      <c r="N152" s="75">
        <v>1</v>
      </c>
      <c r="O152" s="75">
        <v>2321428.5699999998</v>
      </c>
      <c r="P152" s="75">
        <f t="shared" si="38"/>
        <v>2321428.5699999998</v>
      </c>
      <c r="Q152" s="75" t="s">
        <v>25</v>
      </c>
      <c r="R152" s="76" t="s">
        <v>442</v>
      </c>
      <c r="S152" s="76" t="s">
        <v>515</v>
      </c>
      <c r="T152" s="62" t="s">
        <v>22</v>
      </c>
      <c r="U152" s="76" t="s">
        <v>482</v>
      </c>
      <c r="V152" s="76" t="s">
        <v>483</v>
      </c>
      <c r="W152" s="76">
        <v>0</v>
      </c>
      <c r="X152" s="76"/>
    </row>
    <row r="153" spans="1:24" s="88" customFormat="1" ht="63.75">
      <c r="A153" s="26">
        <v>152</v>
      </c>
      <c r="B153" s="76" t="s">
        <v>21</v>
      </c>
      <c r="C153" s="76" t="s">
        <v>23</v>
      </c>
      <c r="D153" s="57" t="s">
        <v>227</v>
      </c>
      <c r="E153" s="57" t="s">
        <v>228</v>
      </c>
      <c r="F153" s="57" t="s">
        <v>229</v>
      </c>
      <c r="G153" s="57" t="s">
        <v>230</v>
      </c>
      <c r="H153" s="57" t="s">
        <v>229</v>
      </c>
      <c r="I153" s="57" t="s">
        <v>231</v>
      </c>
      <c r="J153" s="57" t="s">
        <v>232</v>
      </c>
      <c r="K153" s="93" t="s">
        <v>26</v>
      </c>
      <c r="L153" s="93" t="s">
        <v>761</v>
      </c>
      <c r="M153" s="76" t="s">
        <v>24</v>
      </c>
      <c r="N153" s="75">
        <v>1</v>
      </c>
      <c r="O153" s="75">
        <v>89285.71</v>
      </c>
      <c r="P153" s="75">
        <f t="shared" si="38"/>
        <v>89285.71</v>
      </c>
      <c r="Q153" s="75" t="s">
        <v>25</v>
      </c>
      <c r="R153" s="76" t="s">
        <v>442</v>
      </c>
      <c r="S153" s="76" t="s">
        <v>515</v>
      </c>
      <c r="T153" s="62" t="s">
        <v>22</v>
      </c>
      <c r="U153" s="76" t="s">
        <v>482</v>
      </c>
      <c r="V153" s="76" t="s">
        <v>483</v>
      </c>
      <c r="W153" s="76">
        <v>0</v>
      </c>
      <c r="X153" s="76"/>
    </row>
    <row r="154" spans="1:24" ht="76.5">
      <c r="A154" s="26">
        <v>154</v>
      </c>
      <c r="B154" s="76" t="s">
        <v>21</v>
      </c>
      <c r="C154" s="76" t="s">
        <v>23</v>
      </c>
      <c r="D154" s="76" t="s">
        <v>215</v>
      </c>
      <c r="E154" s="76" t="s">
        <v>216</v>
      </c>
      <c r="F154" s="76" t="s">
        <v>217</v>
      </c>
      <c r="G154" s="76" t="s">
        <v>216</v>
      </c>
      <c r="H154" s="76" t="s">
        <v>217</v>
      </c>
      <c r="I154" s="76" t="s">
        <v>218</v>
      </c>
      <c r="J154" s="76" t="s">
        <v>219</v>
      </c>
      <c r="K154" s="76" t="s">
        <v>205</v>
      </c>
      <c r="L154" s="67"/>
      <c r="M154" s="76" t="s">
        <v>24</v>
      </c>
      <c r="N154" s="75">
        <v>1</v>
      </c>
      <c r="O154" s="75">
        <v>11999999.999999998</v>
      </c>
      <c r="P154" s="75">
        <f t="shared" si="38"/>
        <v>11999999.999999998</v>
      </c>
      <c r="Q154" s="59" t="s">
        <v>25</v>
      </c>
      <c r="R154" s="76" t="s">
        <v>735</v>
      </c>
      <c r="S154" s="76" t="s">
        <v>734</v>
      </c>
      <c r="T154" s="76" t="s">
        <v>22</v>
      </c>
      <c r="U154" s="76" t="s">
        <v>482</v>
      </c>
      <c r="V154" s="76" t="s">
        <v>483</v>
      </c>
      <c r="W154" s="76">
        <v>0</v>
      </c>
      <c r="X154" s="76"/>
    </row>
    <row r="155" spans="1:24" s="88" customFormat="1" ht="114.75">
      <c r="A155" s="26">
        <v>155</v>
      </c>
      <c r="B155" s="76" t="s">
        <v>21</v>
      </c>
      <c r="C155" s="76" t="s">
        <v>23</v>
      </c>
      <c r="D155" s="76" t="s">
        <v>200</v>
      </c>
      <c r="E155" s="76" t="s">
        <v>201</v>
      </c>
      <c r="F155" s="76" t="s">
        <v>202</v>
      </c>
      <c r="G155" s="76" t="s">
        <v>201</v>
      </c>
      <c r="H155" s="76" t="s">
        <v>202</v>
      </c>
      <c r="I155" s="76" t="s">
        <v>203</v>
      </c>
      <c r="J155" s="76" t="s">
        <v>204</v>
      </c>
      <c r="K155" s="76" t="s">
        <v>206</v>
      </c>
      <c r="L155" s="76"/>
      <c r="M155" s="76" t="s">
        <v>24</v>
      </c>
      <c r="N155" s="75">
        <v>1</v>
      </c>
      <c r="O155" s="75">
        <v>4725840</v>
      </c>
      <c r="P155" s="75">
        <f t="shared" ref="P155:P157" si="41">O155*N155</f>
        <v>4725840</v>
      </c>
      <c r="Q155" s="75" t="s">
        <v>25</v>
      </c>
      <c r="R155" s="76" t="s">
        <v>474</v>
      </c>
      <c r="S155" s="76" t="s">
        <v>473</v>
      </c>
      <c r="T155" s="76" t="s">
        <v>22</v>
      </c>
      <c r="U155" s="76" t="s">
        <v>482</v>
      </c>
      <c r="V155" s="76" t="s">
        <v>483</v>
      </c>
      <c r="W155" s="76">
        <v>100</v>
      </c>
      <c r="X155" s="76"/>
    </row>
    <row r="156" spans="1:24" ht="76.5">
      <c r="A156" s="28">
        <v>156</v>
      </c>
      <c r="B156" s="76" t="s">
        <v>21</v>
      </c>
      <c r="C156" s="76" t="s">
        <v>23</v>
      </c>
      <c r="D156" s="76" t="s">
        <v>365</v>
      </c>
      <c r="E156" s="76" t="s">
        <v>366</v>
      </c>
      <c r="F156" s="76" t="s">
        <v>367</v>
      </c>
      <c r="G156" s="76" t="s">
        <v>368</v>
      </c>
      <c r="H156" s="76" t="s">
        <v>369</v>
      </c>
      <c r="I156" s="76" t="s">
        <v>412</v>
      </c>
      <c r="J156" s="76" t="s">
        <v>411</v>
      </c>
      <c r="K156" s="76" t="s">
        <v>206</v>
      </c>
      <c r="L156" s="76"/>
      <c r="M156" s="76" t="s">
        <v>24</v>
      </c>
      <c r="N156" s="75">
        <v>1</v>
      </c>
      <c r="O156" s="29">
        <v>3599999.9999999995</v>
      </c>
      <c r="P156" s="29">
        <f t="shared" si="41"/>
        <v>3599999.9999999995</v>
      </c>
      <c r="Q156" s="59" t="s">
        <v>317</v>
      </c>
      <c r="R156" s="76" t="s">
        <v>484</v>
      </c>
      <c r="S156" s="76" t="s">
        <v>427</v>
      </c>
      <c r="T156" s="62" t="s">
        <v>22</v>
      </c>
      <c r="U156" s="76" t="s">
        <v>482</v>
      </c>
      <c r="V156" s="76" t="s">
        <v>483</v>
      </c>
      <c r="W156" s="76">
        <v>0</v>
      </c>
      <c r="X156" s="36"/>
    </row>
    <row r="157" spans="1:24" s="88" customFormat="1" ht="76.5">
      <c r="A157" s="26">
        <v>157</v>
      </c>
      <c r="B157" s="76" t="s">
        <v>21</v>
      </c>
      <c r="C157" s="76" t="s">
        <v>23</v>
      </c>
      <c r="D157" s="76" t="s">
        <v>365</v>
      </c>
      <c r="E157" s="76" t="s">
        <v>366</v>
      </c>
      <c r="F157" s="76" t="s">
        <v>367</v>
      </c>
      <c r="G157" s="76" t="s">
        <v>368</v>
      </c>
      <c r="H157" s="76" t="s">
        <v>369</v>
      </c>
      <c r="I157" s="76" t="s">
        <v>370</v>
      </c>
      <c r="J157" s="76" t="s">
        <v>371</v>
      </c>
      <c r="K157" s="76" t="s">
        <v>206</v>
      </c>
      <c r="L157" s="76"/>
      <c r="M157" s="76" t="s">
        <v>24</v>
      </c>
      <c r="N157" s="75">
        <v>1</v>
      </c>
      <c r="O157" s="29">
        <v>6000000</v>
      </c>
      <c r="P157" s="29">
        <f t="shared" si="41"/>
        <v>6000000</v>
      </c>
      <c r="Q157" s="59" t="s">
        <v>25</v>
      </c>
      <c r="R157" s="76" t="s">
        <v>484</v>
      </c>
      <c r="S157" s="76" t="s">
        <v>427</v>
      </c>
      <c r="T157" s="62" t="s">
        <v>22</v>
      </c>
      <c r="U157" s="76" t="s">
        <v>482</v>
      </c>
      <c r="V157" s="76" t="s">
        <v>483</v>
      </c>
      <c r="W157" s="76">
        <v>0</v>
      </c>
      <c r="X157" s="36"/>
    </row>
    <row r="158" spans="1:24" ht="114.75">
      <c r="A158" s="26">
        <v>159</v>
      </c>
      <c r="B158" s="76" t="s">
        <v>21</v>
      </c>
      <c r="C158" s="76" t="s">
        <v>23</v>
      </c>
      <c r="D158" s="57" t="s">
        <v>96</v>
      </c>
      <c r="E158" s="57" t="s">
        <v>180</v>
      </c>
      <c r="F158" s="57" t="s">
        <v>181</v>
      </c>
      <c r="G158" s="57" t="s">
        <v>180</v>
      </c>
      <c r="H158" s="57" t="s">
        <v>181</v>
      </c>
      <c r="I158" s="76" t="s">
        <v>901</v>
      </c>
      <c r="J158" s="76" t="s">
        <v>900</v>
      </c>
      <c r="K158" s="76" t="s">
        <v>206</v>
      </c>
      <c r="L158" s="76"/>
      <c r="M158" s="76" t="s">
        <v>24</v>
      </c>
      <c r="N158" s="75">
        <v>1</v>
      </c>
      <c r="O158" s="75">
        <v>256520</v>
      </c>
      <c r="P158" s="75">
        <f>O158*N158</f>
        <v>256520</v>
      </c>
      <c r="Q158" s="59" t="s">
        <v>853</v>
      </c>
      <c r="R158" s="54" t="s">
        <v>48</v>
      </c>
      <c r="S158" s="76" t="s">
        <v>37</v>
      </c>
      <c r="T158" s="76" t="s">
        <v>22</v>
      </c>
      <c r="U158" s="76" t="s">
        <v>482</v>
      </c>
      <c r="V158" s="76" t="s">
        <v>483</v>
      </c>
      <c r="W158" s="76">
        <v>0</v>
      </c>
      <c r="X158" s="76"/>
    </row>
    <row r="159" spans="1:24" s="88" customFormat="1" ht="114.75">
      <c r="A159" s="26">
        <v>160</v>
      </c>
      <c r="B159" s="76" t="s">
        <v>21</v>
      </c>
      <c r="C159" s="76" t="s">
        <v>23</v>
      </c>
      <c r="D159" s="57" t="s">
        <v>96</v>
      </c>
      <c r="E159" s="57" t="s">
        <v>180</v>
      </c>
      <c r="F159" s="57" t="s">
        <v>181</v>
      </c>
      <c r="G159" s="57" t="s">
        <v>180</v>
      </c>
      <c r="H159" s="57" t="s">
        <v>181</v>
      </c>
      <c r="I159" s="76" t="s">
        <v>903</v>
      </c>
      <c r="J159" s="57" t="s">
        <v>902</v>
      </c>
      <c r="K159" s="76" t="s">
        <v>206</v>
      </c>
      <c r="L159" s="76"/>
      <c r="M159" s="76" t="s">
        <v>24</v>
      </c>
      <c r="N159" s="75">
        <v>1</v>
      </c>
      <c r="O159" s="75">
        <v>100000</v>
      </c>
      <c r="P159" s="75">
        <f>O159*N159</f>
        <v>100000</v>
      </c>
      <c r="Q159" s="59" t="s">
        <v>853</v>
      </c>
      <c r="R159" s="54" t="s">
        <v>48</v>
      </c>
      <c r="S159" s="76" t="s">
        <v>37</v>
      </c>
      <c r="T159" s="76" t="s">
        <v>22</v>
      </c>
      <c r="U159" s="76" t="s">
        <v>482</v>
      </c>
      <c r="V159" s="76" t="s">
        <v>483</v>
      </c>
      <c r="W159" s="76">
        <v>0</v>
      </c>
      <c r="X159" s="76"/>
    </row>
    <row r="160" spans="1:24" s="88" customFormat="1" ht="114.75">
      <c r="A160" s="26">
        <v>161</v>
      </c>
      <c r="B160" s="76" t="s">
        <v>21</v>
      </c>
      <c r="C160" s="76" t="s">
        <v>23</v>
      </c>
      <c r="D160" s="57" t="s">
        <v>96</v>
      </c>
      <c r="E160" s="57" t="s">
        <v>180</v>
      </c>
      <c r="F160" s="57" t="s">
        <v>181</v>
      </c>
      <c r="G160" s="57" t="s">
        <v>180</v>
      </c>
      <c r="H160" s="57" t="s">
        <v>181</v>
      </c>
      <c r="I160" s="57" t="s">
        <v>905</v>
      </c>
      <c r="J160" s="57" t="s">
        <v>904</v>
      </c>
      <c r="K160" s="76" t="s">
        <v>206</v>
      </c>
      <c r="L160" s="76"/>
      <c r="M160" s="76" t="s">
        <v>24</v>
      </c>
      <c r="N160" s="75">
        <v>1</v>
      </c>
      <c r="O160" s="75">
        <v>100000</v>
      </c>
      <c r="P160" s="75">
        <f t="shared" ref="P160:P161" si="42">O160*N160</f>
        <v>100000</v>
      </c>
      <c r="Q160" s="59" t="s">
        <v>853</v>
      </c>
      <c r="R160" s="54" t="s">
        <v>48</v>
      </c>
      <c r="S160" s="76" t="s">
        <v>37</v>
      </c>
      <c r="T160" s="76" t="s">
        <v>22</v>
      </c>
      <c r="U160" s="76" t="s">
        <v>482</v>
      </c>
      <c r="V160" s="76" t="s">
        <v>483</v>
      </c>
      <c r="W160" s="76">
        <v>0</v>
      </c>
      <c r="X160" s="76"/>
    </row>
    <row r="161" spans="1:96" s="88" customFormat="1" ht="63.75">
      <c r="A161" s="26">
        <v>162</v>
      </c>
      <c r="B161" s="76" t="s">
        <v>21</v>
      </c>
      <c r="C161" s="76" t="s">
        <v>61</v>
      </c>
      <c r="D161" s="57" t="s">
        <v>906</v>
      </c>
      <c r="E161" s="57" t="s">
        <v>909</v>
      </c>
      <c r="F161" s="57" t="s">
        <v>907</v>
      </c>
      <c r="G161" s="57" t="s">
        <v>909</v>
      </c>
      <c r="H161" s="57" t="s">
        <v>908</v>
      </c>
      <c r="I161" s="57" t="s">
        <v>911</v>
      </c>
      <c r="J161" s="57" t="s">
        <v>910</v>
      </c>
      <c r="K161" s="76" t="s">
        <v>26</v>
      </c>
      <c r="L161" s="76" t="s">
        <v>405</v>
      </c>
      <c r="M161" s="76" t="s">
        <v>92</v>
      </c>
      <c r="N161" s="75">
        <v>1</v>
      </c>
      <c r="O161" s="75">
        <v>445623.21</v>
      </c>
      <c r="P161" s="75">
        <f t="shared" si="42"/>
        <v>445623.21</v>
      </c>
      <c r="Q161" s="59" t="s">
        <v>853</v>
      </c>
      <c r="R161" s="56" t="s">
        <v>896</v>
      </c>
      <c r="S161" s="56" t="s">
        <v>897</v>
      </c>
      <c r="T161" s="76" t="s">
        <v>461</v>
      </c>
      <c r="U161" s="76" t="s">
        <v>397</v>
      </c>
      <c r="V161" s="76" t="s">
        <v>65</v>
      </c>
      <c r="W161" s="76">
        <v>0</v>
      </c>
      <c r="X161" s="76"/>
    </row>
    <row r="162" spans="1:96" s="88" customFormat="1" ht="114.75">
      <c r="A162" s="26">
        <v>163</v>
      </c>
      <c r="B162" s="76" t="s">
        <v>21</v>
      </c>
      <c r="C162" s="76" t="s">
        <v>23</v>
      </c>
      <c r="D162" s="57" t="s">
        <v>96</v>
      </c>
      <c r="E162" s="57" t="s">
        <v>180</v>
      </c>
      <c r="F162" s="57" t="s">
        <v>181</v>
      </c>
      <c r="G162" s="57" t="s">
        <v>180</v>
      </c>
      <c r="H162" s="57" t="s">
        <v>181</v>
      </c>
      <c r="I162" s="57" t="s">
        <v>488</v>
      </c>
      <c r="J162" s="57" t="s">
        <v>487</v>
      </c>
      <c r="K162" s="76" t="s">
        <v>206</v>
      </c>
      <c r="L162" s="76"/>
      <c r="M162" s="76" t="s">
        <v>24</v>
      </c>
      <c r="N162" s="75">
        <v>1</v>
      </c>
      <c r="O162" s="75">
        <v>607142.85</v>
      </c>
      <c r="P162" s="75">
        <f>O162*N162</f>
        <v>607142.85</v>
      </c>
      <c r="Q162" s="59" t="s">
        <v>379</v>
      </c>
      <c r="R162" s="54" t="s">
        <v>48</v>
      </c>
      <c r="S162" s="76" t="s">
        <v>37</v>
      </c>
      <c r="T162" s="76" t="s">
        <v>22</v>
      </c>
      <c r="U162" s="76" t="s">
        <v>482</v>
      </c>
      <c r="V162" s="76" t="s">
        <v>483</v>
      </c>
      <c r="W162" s="76">
        <v>0</v>
      </c>
      <c r="X162" s="76"/>
    </row>
    <row r="163" spans="1:96" s="88" customFormat="1" ht="114.75">
      <c r="A163" s="26">
        <v>164</v>
      </c>
      <c r="B163" s="76" t="s">
        <v>21</v>
      </c>
      <c r="C163" s="76" t="s">
        <v>23</v>
      </c>
      <c r="D163" s="57" t="s">
        <v>96</v>
      </c>
      <c r="E163" s="57" t="s">
        <v>180</v>
      </c>
      <c r="F163" s="57" t="s">
        <v>181</v>
      </c>
      <c r="G163" s="57" t="s">
        <v>180</v>
      </c>
      <c r="H163" s="57" t="s">
        <v>181</v>
      </c>
      <c r="I163" s="57" t="s">
        <v>490</v>
      </c>
      <c r="J163" s="57" t="s">
        <v>489</v>
      </c>
      <c r="K163" s="76" t="s">
        <v>206</v>
      </c>
      <c r="L163" s="76"/>
      <c r="M163" s="76" t="s">
        <v>24</v>
      </c>
      <c r="N163" s="75">
        <v>1</v>
      </c>
      <c r="O163" s="75">
        <v>401785.71</v>
      </c>
      <c r="P163" s="75">
        <f t="shared" ref="P163:P164" si="43">O163*N163</f>
        <v>401785.71</v>
      </c>
      <c r="Q163" s="59" t="s">
        <v>97</v>
      </c>
      <c r="R163" s="54" t="s">
        <v>48</v>
      </c>
      <c r="S163" s="76" t="s">
        <v>37</v>
      </c>
      <c r="T163" s="76" t="s">
        <v>22</v>
      </c>
      <c r="U163" s="76" t="s">
        <v>482</v>
      </c>
      <c r="V163" s="76" t="s">
        <v>483</v>
      </c>
      <c r="W163" s="76">
        <v>0</v>
      </c>
      <c r="X163" s="76"/>
    </row>
    <row r="164" spans="1:96" s="88" customFormat="1" ht="114.75">
      <c r="A164" s="26">
        <v>165</v>
      </c>
      <c r="B164" s="76" t="s">
        <v>21</v>
      </c>
      <c r="C164" s="76" t="s">
        <v>23</v>
      </c>
      <c r="D164" s="57" t="s">
        <v>96</v>
      </c>
      <c r="E164" s="57" t="s">
        <v>180</v>
      </c>
      <c r="F164" s="57" t="s">
        <v>181</v>
      </c>
      <c r="G164" s="57" t="s">
        <v>180</v>
      </c>
      <c r="H164" s="57" t="s">
        <v>181</v>
      </c>
      <c r="I164" s="57" t="s">
        <v>492</v>
      </c>
      <c r="J164" s="57" t="s">
        <v>491</v>
      </c>
      <c r="K164" s="76" t="s">
        <v>206</v>
      </c>
      <c r="L164" s="76"/>
      <c r="M164" s="76" t="s">
        <v>24</v>
      </c>
      <c r="N164" s="75">
        <v>1</v>
      </c>
      <c r="O164" s="75">
        <v>223214.28</v>
      </c>
      <c r="P164" s="75">
        <f t="shared" si="43"/>
        <v>223214.28</v>
      </c>
      <c r="Q164" s="59" t="s">
        <v>317</v>
      </c>
      <c r="R164" s="54" t="s">
        <v>48</v>
      </c>
      <c r="S164" s="76" t="s">
        <v>37</v>
      </c>
      <c r="T164" s="76" t="s">
        <v>22</v>
      </c>
      <c r="U164" s="76" t="s">
        <v>482</v>
      </c>
      <c r="V164" s="76" t="s">
        <v>483</v>
      </c>
      <c r="W164" s="76">
        <v>0</v>
      </c>
      <c r="X164" s="76"/>
    </row>
    <row r="165" spans="1:96" s="88" customFormat="1" ht="114.75">
      <c r="A165" s="26">
        <v>166</v>
      </c>
      <c r="B165" s="76" t="s">
        <v>21</v>
      </c>
      <c r="C165" s="76" t="s">
        <v>23</v>
      </c>
      <c r="D165" s="57" t="s">
        <v>96</v>
      </c>
      <c r="E165" s="57" t="s">
        <v>180</v>
      </c>
      <c r="F165" s="57" t="s">
        <v>181</v>
      </c>
      <c r="G165" s="57" t="s">
        <v>180</v>
      </c>
      <c r="H165" s="57" t="s">
        <v>181</v>
      </c>
      <c r="I165" s="57" t="s">
        <v>494</v>
      </c>
      <c r="J165" s="57" t="s">
        <v>493</v>
      </c>
      <c r="K165" s="76" t="s">
        <v>206</v>
      </c>
      <c r="L165" s="76"/>
      <c r="M165" s="76" t="s">
        <v>24</v>
      </c>
      <c r="N165" s="75">
        <v>1</v>
      </c>
      <c r="O165" s="75">
        <v>180000</v>
      </c>
      <c r="P165" s="75">
        <f t="shared" ref="P165:P175" si="44">O165*N165</f>
        <v>180000</v>
      </c>
      <c r="Q165" s="59" t="s">
        <v>317</v>
      </c>
      <c r="R165" s="54" t="s">
        <v>48</v>
      </c>
      <c r="S165" s="76" t="s">
        <v>37</v>
      </c>
      <c r="T165" s="76" t="s">
        <v>22</v>
      </c>
      <c r="U165" s="76" t="s">
        <v>482</v>
      </c>
      <c r="V165" s="76" t="s">
        <v>483</v>
      </c>
      <c r="W165" s="76">
        <v>0</v>
      </c>
      <c r="X165" s="76"/>
    </row>
    <row r="166" spans="1:96" s="88" customFormat="1" ht="114.75">
      <c r="A166" s="26">
        <v>167</v>
      </c>
      <c r="B166" s="76" t="s">
        <v>21</v>
      </c>
      <c r="C166" s="76" t="s">
        <v>23</v>
      </c>
      <c r="D166" s="57" t="s">
        <v>96</v>
      </c>
      <c r="E166" s="57" t="s">
        <v>180</v>
      </c>
      <c r="F166" s="57" t="s">
        <v>181</v>
      </c>
      <c r="G166" s="57" t="s">
        <v>180</v>
      </c>
      <c r="H166" s="57" t="s">
        <v>181</v>
      </c>
      <c r="I166" s="57" t="s">
        <v>496</v>
      </c>
      <c r="J166" s="57" t="s">
        <v>495</v>
      </c>
      <c r="K166" s="76" t="s">
        <v>206</v>
      </c>
      <c r="L166" s="76"/>
      <c r="M166" s="76" t="s">
        <v>24</v>
      </c>
      <c r="N166" s="75">
        <v>1</v>
      </c>
      <c r="O166" s="75">
        <v>180000</v>
      </c>
      <c r="P166" s="75">
        <f t="shared" si="44"/>
        <v>180000</v>
      </c>
      <c r="Q166" s="59" t="s">
        <v>317</v>
      </c>
      <c r="R166" s="54" t="s">
        <v>48</v>
      </c>
      <c r="S166" s="76" t="s">
        <v>37</v>
      </c>
      <c r="T166" s="76" t="s">
        <v>22</v>
      </c>
      <c r="U166" s="76" t="s">
        <v>482</v>
      </c>
      <c r="V166" s="76" t="s">
        <v>483</v>
      </c>
      <c r="W166" s="76">
        <v>0</v>
      </c>
      <c r="X166" s="76"/>
    </row>
    <row r="167" spans="1:96" s="88" customFormat="1" ht="114.75">
      <c r="A167" s="26">
        <v>168</v>
      </c>
      <c r="B167" s="76" t="s">
        <v>21</v>
      </c>
      <c r="C167" s="76" t="s">
        <v>23</v>
      </c>
      <c r="D167" s="57" t="s">
        <v>96</v>
      </c>
      <c r="E167" s="57" t="s">
        <v>180</v>
      </c>
      <c r="F167" s="57" t="s">
        <v>181</v>
      </c>
      <c r="G167" s="57" t="s">
        <v>180</v>
      </c>
      <c r="H167" s="57" t="s">
        <v>181</v>
      </c>
      <c r="I167" s="57" t="s">
        <v>498</v>
      </c>
      <c r="J167" s="57" t="s">
        <v>497</v>
      </c>
      <c r="K167" s="76" t="s">
        <v>206</v>
      </c>
      <c r="L167" s="76"/>
      <c r="M167" s="76" t="s">
        <v>24</v>
      </c>
      <c r="N167" s="75">
        <v>1</v>
      </c>
      <c r="O167" s="75">
        <v>199999.99999999997</v>
      </c>
      <c r="P167" s="75">
        <f t="shared" si="44"/>
        <v>199999.99999999997</v>
      </c>
      <c r="Q167" s="59" t="s">
        <v>317</v>
      </c>
      <c r="R167" s="54" t="s">
        <v>48</v>
      </c>
      <c r="S167" s="76" t="s">
        <v>37</v>
      </c>
      <c r="T167" s="76" t="s">
        <v>22</v>
      </c>
      <c r="U167" s="76" t="s">
        <v>482</v>
      </c>
      <c r="V167" s="76" t="s">
        <v>483</v>
      </c>
      <c r="W167" s="76">
        <v>0</v>
      </c>
      <c r="X167" s="76"/>
    </row>
    <row r="168" spans="1:96" s="88" customFormat="1" ht="114.75">
      <c r="A168" s="26">
        <v>169</v>
      </c>
      <c r="B168" s="76" t="s">
        <v>21</v>
      </c>
      <c r="C168" s="76" t="s">
        <v>23</v>
      </c>
      <c r="D168" s="57" t="s">
        <v>96</v>
      </c>
      <c r="E168" s="57" t="s">
        <v>180</v>
      </c>
      <c r="F168" s="57" t="s">
        <v>181</v>
      </c>
      <c r="G168" s="57" t="s">
        <v>180</v>
      </c>
      <c r="H168" s="57" t="s">
        <v>181</v>
      </c>
      <c r="I168" s="57" t="s">
        <v>500</v>
      </c>
      <c r="J168" s="57" t="s">
        <v>499</v>
      </c>
      <c r="K168" s="76" t="s">
        <v>206</v>
      </c>
      <c r="L168" s="76"/>
      <c r="M168" s="76" t="s">
        <v>24</v>
      </c>
      <c r="N168" s="75">
        <v>1</v>
      </c>
      <c r="O168" s="75">
        <v>95000</v>
      </c>
      <c r="P168" s="75">
        <f t="shared" si="44"/>
        <v>95000</v>
      </c>
      <c r="Q168" s="59" t="s">
        <v>317</v>
      </c>
      <c r="R168" s="62" t="s">
        <v>48</v>
      </c>
      <c r="S168" s="76" t="s">
        <v>37</v>
      </c>
      <c r="T168" s="76" t="s">
        <v>22</v>
      </c>
      <c r="U168" s="76" t="s">
        <v>482</v>
      </c>
      <c r="V168" s="76" t="s">
        <v>483</v>
      </c>
      <c r="W168" s="76">
        <v>0</v>
      </c>
      <c r="X168" s="76"/>
    </row>
    <row r="169" spans="1:96" s="58" customFormat="1" ht="88.5" customHeight="1">
      <c r="A169" s="76">
        <v>170</v>
      </c>
      <c r="B169" s="76" t="s">
        <v>21</v>
      </c>
      <c r="C169" s="76" t="s">
        <v>23</v>
      </c>
      <c r="D169" s="57" t="s">
        <v>96</v>
      </c>
      <c r="E169" s="57" t="s">
        <v>180</v>
      </c>
      <c r="F169" s="57" t="s">
        <v>181</v>
      </c>
      <c r="G169" s="57" t="s">
        <v>180</v>
      </c>
      <c r="H169" s="57" t="s">
        <v>181</v>
      </c>
      <c r="I169" s="57" t="s">
        <v>502</v>
      </c>
      <c r="J169" s="57" t="s">
        <v>501</v>
      </c>
      <c r="K169" s="76" t="s">
        <v>206</v>
      </c>
      <c r="L169" s="76"/>
      <c r="M169" s="76" t="s">
        <v>24</v>
      </c>
      <c r="N169" s="75">
        <v>1</v>
      </c>
      <c r="O169" s="75">
        <v>233999.99999999997</v>
      </c>
      <c r="P169" s="75">
        <f t="shared" si="44"/>
        <v>233999.99999999997</v>
      </c>
      <c r="Q169" s="59" t="s">
        <v>379</v>
      </c>
      <c r="R169" s="62" t="s">
        <v>48</v>
      </c>
      <c r="S169" s="76" t="s">
        <v>37</v>
      </c>
      <c r="T169" s="76" t="s">
        <v>22</v>
      </c>
      <c r="U169" s="76" t="s">
        <v>482</v>
      </c>
      <c r="V169" s="76" t="s">
        <v>483</v>
      </c>
      <c r="W169" s="76">
        <v>0</v>
      </c>
      <c r="X169" s="7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</row>
    <row r="170" spans="1:96" ht="114.75">
      <c r="A170" s="26">
        <v>171</v>
      </c>
      <c r="B170" s="76" t="s">
        <v>21</v>
      </c>
      <c r="C170" s="76" t="s">
        <v>23</v>
      </c>
      <c r="D170" s="57" t="s">
        <v>96</v>
      </c>
      <c r="E170" s="57" t="s">
        <v>180</v>
      </c>
      <c r="F170" s="57" t="s">
        <v>181</v>
      </c>
      <c r="G170" s="57" t="s">
        <v>180</v>
      </c>
      <c r="H170" s="57" t="s">
        <v>181</v>
      </c>
      <c r="I170" s="57" t="s">
        <v>504</v>
      </c>
      <c r="J170" s="57" t="s">
        <v>503</v>
      </c>
      <c r="K170" s="76" t="s">
        <v>205</v>
      </c>
      <c r="L170" s="76"/>
      <c r="M170" s="76" t="s">
        <v>24</v>
      </c>
      <c r="N170" s="75">
        <v>1</v>
      </c>
      <c r="O170" s="75">
        <v>109999.99999999999</v>
      </c>
      <c r="P170" s="75">
        <f t="shared" si="44"/>
        <v>109999.99999999999</v>
      </c>
      <c r="Q170" s="59" t="s">
        <v>317</v>
      </c>
      <c r="R170" s="62" t="s">
        <v>48</v>
      </c>
      <c r="S170" s="76" t="s">
        <v>37</v>
      </c>
      <c r="T170" s="76" t="s">
        <v>22</v>
      </c>
      <c r="U170" s="76" t="s">
        <v>482</v>
      </c>
      <c r="V170" s="76" t="s">
        <v>483</v>
      </c>
      <c r="W170" s="76">
        <v>0</v>
      </c>
      <c r="X170" s="76"/>
    </row>
    <row r="171" spans="1:96" s="88" customFormat="1" ht="114.75">
      <c r="A171" s="26">
        <v>174</v>
      </c>
      <c r="B171" s="76" t="s">
        <v>21</v>
      </c>
      <c r="C171" s="76" t="s">
        <v>23</v>
      </c>
      <c r="D171" s="57" t="s">
        <v>96</v>
      </c>
      <c r="E171" s="57" t="s">
        <v>180</v>
      </c>
      <c r="F171" s="57" t="s">
        <v>181</v>
      </c>
      <c r="G171" s="57" t="s">
        <v>180</v>
      </c>
      <c r="H171" s="57" t="s">
        <v>181</v>
      </c>
      <c r="I171" s="57" t="s">
        <v>506</v>
      </c>
      <c r="J171" s="57" t="s">
        <v>505</v>
      </c>
      <c r="K171" s="76" t="s">
        <v>206</v>
      </c>
      <c r="L171" s="76"/>
      <c r="M171" s="76" t="s">
        <v>24</v>
      </c>
      <c r="N171" s="75">
        <v>1</v>
      </c>
      <c r="O171" s="75">
        <v>133100</v>
      </c>
      <c r="P171" s="75">
        <f t="shared" si="44"/>
        <v>133100</v>
      </c>
      <c r="Q171" s="59" t="s">
        <v>317</v>
      </c>
      <c r="R171" s="62" t="s">
        <v>48</v>
      </c>
      <c r="S171" s="76" t="s">
        <v>37</v>
      </c>
      <c r="T171" s="76" t="s">
        <v>22</v>
      </c>
      <c r="U171" s="76" t="s">
        <v>482</v>
      </c>
      <c r="V171" s="76" t="s">
        <v>483</v>
      </c>
      <c r="W171" s="76">
        <v>0</v>
      </c>
      <c r="X171" s="76"/>
    </row>
    <row r="172" spans="1:96" s="88" customFormat="1" ht="114.75">
      <c r="A172" s="26">
        <v>175</v>
      </c>
      <c r="B172" s="76" t="s">
        <v>21</v>
      </c>
      <c r="C172" s="76" t="s">
        <v>23</v>
      </c>
      <c r="D172" s="57" t="s">
        <v>96</v>
      </c>
      <c r="E172" s="57" t="s">
        <v>180</v>
      </c>
      <c r="F172" s="57" t="s">
        <v>181</v>
      </c>
      <c r="G172" s="57" t="s">
        <v>180</v>
      </c>
      <c r="H172" s="57" t="s">
        <v>181</v>
      </c>
      <c r="I172" s="57" t="s">
        <v>508</v>
      </c>
      <c r="J172" s="57" t="s">
        <v>507</v>
      </c>
      <c r="K172" s="76" t="s">
        <v>206</v>
      </c>
      <c r="L172" s="76"/>
      <c r="M172" s="76" t="s">
        <v>24</v>
      </c>
      <c r="N172" s="75">
        <v>1</v>
      </c>
      <c r="O172" s="75">
        <v>133100</v>
      </c>
      <c r="P172" s="75">
        <f t="shared" si="44"/>
        <v>133100</v>
      </c>
      <c r="Q172" s="59" t="s">
        <v>317</v>
      </c>
      <c r="R172" s="62" t="s">
        <v>48</v>
      </c>
      <c r="S172" s="76" t="s">
        <v>37</v>
      </c>
      <c r="T172" s="76" t="s">
        <v>22</v>
      </c>
      <c r="U172" s="76" t="s">
        <v>482</v>
      </c>
      <c r="V172" s="76" t="s">
        <v>483</v>
      </c>
      <c r="W172" s="76">
        <v>0</v>
      </c>
      <c r="X172" s="62"/>
    </row>
    <row r="173" spans="1:96" s="88" customFormat="1" ht="114.75">
      <c r="A173" s="26">
        <v>176</v>
      </c>
      <c r="B173" s="76" t="s">
        <v>91</v>
      </c>
      <c r="C173" s="76" t="s">
        <v>23</v>
      </c>
      <c r="D173" s="57" t="s">
        <v>96</v>
      </c>
      <c r="E173" s="57" t="s">
        <v>180</v>
      </c>
      <c r="F173" s="57" t="s">
        <v>181</v>
      </c>
      <c r="G173" s="57" t="s">
        <v>180</v>
      </c>
      <c r="H173" s="57" t="s">
        <v>181</v>
      </c>
      <c r="I173" s="57" t="s">
        <v>510</v>
      </c>
      <c r="J173" s="57" t="s">
        <v>509</v>
      </c>
      <c r="K173" s="76" t="s">
        <v>206</v>
      </c>
      <c r="L173" s="76"/>
      <c r="M173" s="76" t="s">
        <v>24</v>
      </c>
      <c r="N173" s="75">
        <v>1</v>
      </c>
      <c r="O173" s="75">
        <v>196130</v>
      </c>
      <c r="P173" s="75">
        <f t="shared" si="44"/>
        <v>196130</v>
      </c>
      <c r="Q173" s="59" t="s">
        <v>317</v>
      </c>
      <c r="R173" s="62" t="s">
        <v>48</v>
      </c>
      <c r="S173" s="76" t="s">
        <v>37</v>
      </c>
      <c r="T173" s="76" t="s">
        <v>22</v>
      </c>
      <c r="U173" s="76" t="s">
        <v>482</v>
      </c>
      <c r="V173" s="76" t="s">
        <v>483</v>
      </c>
      <c r="W173" s="76">
        <v>0</v>
      </c>
      <c r="X173" s="62"/>
    </row>
    <row r="174" spans="1:96" s="88" customFormat="1" ht="114.75">
      <c r="A174" s="26">
        <v>177</v>
      </c>
      <c r="B174" s="76" t="s">
        <v>21</v>
      </c>
      <c r="C174" s="76" t="s">
        <v>23</v>
      </c>
      <c r="D174" s="57" t="s">
        <v>96</v>
      </c>
      <c r="E174" s="57" t="s">
        <v>180</v>
      </c>
      <c r="F174" s="57" t="s">
        <v>181</v>
      </c>
      <c r="G174" s="57" t="s">
        <v>180</v>
      </c>
      <c r="H174" s="57" t="s">
        <v>181</v>
      </c>
      <c r="I174" s="57" t="s">
        <v>511</v>
      </c>
      <c r="J174" s="57" t="s">
        <v>513</v>
      </c>
      <c r="K174" s="76" t="s">
        <v>206</v>
      </c>
      <c r="L174" s="76"/>
      <c r="M174" s="76" t="s">
        <v>24</v>
      </c>
      <c r="N174" s="75">
        <v>1</v>
      </c>
      <c r="O174" s="75">
        <v>392260</v>
      </c>
      <c r="P174" s="75">
        <f t="shared" si="44"/>
        <v>392260</v>
      </c>
      <c r="Q174" s="59" t="s">
        <v>379</v>
      </c>
      <c r="R174" s="62" t="s">
        <v>48</v>
      </c>
      <c r="S174" s="76" t="s">
        <v>37</v>
      </c>
      <c r="T174" s="76" t="s">
        <v>22</v>
      </c>
      <c r="U174" s="76" t="s">
        <v>482</v>
      </c>
      <c r="V174" s="76" t="s">
        <v>483</v>
      </c>
      <c r="W174" s="76">
        <v>0</v>
      </c>
      <c r="X174" s="62"/>
    </row>
    <row r="175" spans="1:96" s="88" customFormat="1" ht="114.75">
      <c r="A175" s="82">
        <v>178</v>
      </c>
      <c r="B175" s="82" t="s">
        <v>21</v>
      </c>
      <c r="C175" s="82" t="s">
        <v>23</v>
      </c>
      <c r="D175" s="83" t="s">
        <v>96</v>
      </c>
      <c r="E175" s="83" t="s">
        <v>180</v>
      </c>
      <c r="F175" s="83" t="s">
        <v>181</v>
      </c>
      <c r="G175" s="83" t="s">
        <v>180</v>
      </c>
      <c r="H175" s="83" t="s">
        <v>181</v>
      </c>
      <c r="I175" s="83" t="s">
        <v>514</v>
      </c>
      <c r="J175" s="83" t="s">
        <v>512</v>
      </c>
      <c r="K175" s="82" t="s">
        <v>206</v>
      </c>
      <c r="L175" s="82"/>
      <c r="M175" s="82" t="s">
        <v>24</v>
      </c>
      <c r="N175" s="84">
        <v>1</v>
      </c>
      <c r="O175" s="29">
        <v>200000</v>
      </c>
      <c r="P175" s="75">
        <f t="shared" si="44"/>
        <v>200000</v>
      </c>
      <c r="Q175" s="116" t="s">
        <v>379</v>
      </c>
      <c r="R175" s="85" t="s">
        <v>48</v>
      </c>
      <c r="S175" s="82" t="s">
        <v>37</v>
      </c>
      <c r="T175" s="82" t="s">
        <v>22</v>
      </c>
      <c r="U175" s="82" t="s">
        <v>482</v>
      </c>
      <c r="V175" s="82" t="s">
        <v>483</v>
      </c>
      <c r="W175" s="82">
        <v>0</v>
      </c>
      <c r="X175" s="36"/>
    </row>
    <row r="176" spans="1:96" ht="76.5">
      <c r="A176" s="26">
        <v>179</v>
      </c>
      <c r="B176" s="76" t="s">
        <v>21</v>
      </c>
      <c r="C176" s="76" t="s">
        <v>23</v>
      </c>
      <c r="D176" s="76" t="s">
        <v>80</v>
      </c>
      <c r="E176" s="76" t="s">
        <v>62</v>
      </c>
      <c r="F176" s="57" t="s">
        <v>60</v>
      </c>
      <c r="G176" s="57" t="s">
        <v>82</v>
      </c>
      <c r="H176" s="57" t="s">
        <v>81</v>
      </c>
      <c r="I176" s="76" t="s">
        <v>372</v>
      </c>
      <c r="J176" s="76" t="s">
        <v>373</v>
      </c>
      <c r="K176" s="76" t="s">
        <v>26</v>
      </c>
      <c r="L176" s="76" t="s">
        <v>396</v>
      </c>
      <c r="M176" s="76" t="s">
        <v>24</v>
      </c>
      <c r="N176" s="75">
        <v>1</v>
      </c>
      <c r="O176" s="75">
        <v>107256</v>
      </c>
      <c r="P176" s="75">
        <f t="shared" ref="P176" si="45">O176*N176</f>
        <v>107256</v>
      </c>
      <c r="Q176" s="59" t="s">
        <v>25</v>
      </c>
      <c r="R176" s="76" t="s">
        <v>442</v>
      </c>
      <c r="S176" s="76" t="s">
        <v>441</v>
      </c>
      <c r="T176" s="59" t="s">
        <v>255</v>
      </c>
      <c r="U176" s="76" t="s">
        <v>53</v>
      </c>
      <c r="V176" s="76" t="s">
        <v>57</v>
      </c>
      <c r="W176" s="76">
        <v>0</v>
      </c>
      <c r="X176" s="62"/>
    </row>
    <row r="177" spans="1:24" ht="76.5">
      <c r="A177" s="26">
        <v>183</v>
      </c>
      <c r="B177" s="76" t="s">
        <v>21</v>
      </c>
      <c r="C177" s="76" t="s">
        <v>23</v>
      </c>
      <c r="D177" s="76" t="s">
        <v>80</v>
      </c>
      <c r="E177" s="76" t="s">
        <v>62</v>
      </c>
      <c r="F177" s="57" t="s">
        <v>60</v>
      </c>
      <c r="G177" s="57" t="s">
        <v>82</v>
      </c>
      <c r="H177" s="57" t="s">
        <v>81</v>
      </c>
      <c r="I177" s="76" t="s">
        <v>375</v>
      </c>
      <c r="J177" s="76" t="s">
        <v>376</v>
      </c>
      <c r="K177" s="76" t="s">
        <v>26</v>
      </c>
      <c r="L177" s="76" t="s">
        <v>396</v>
      </c>
      <c r="M177" s="76" t="s">
        <v>24</v>
      </c>
      <c r="N177" s="75">
        <v>1</v>
      </c>
      <c r="O177" s="75">
        <v>1605.76</v>
      </c>
      <c r="P177" s="75">
        <f t="shared" ref="P177" si="46">O177*N177</f>
        <v>1605.76</v>
      </c>
      <c r="Q177" s="59" t="s">
        <v>25</v>
      </c>
      <c r="R177" s="76" t="s">
        <v>442</v>
      </c>
      <c r="S177" s="76" t="s">
        <v>441</v>
      </c>
      <c r="T177" s="59" t="s">
        <v>255</v>
      </c>
      <c r="U177" s="76" t="s">
        <v>53</v>
      </c>
      <c r="V177" s="76" t="s">
        <v>57</v>
      </c>
      <c r="W177" s="76">
        <v>0</v>
      </c>
      <c r="X177" s="62"/>
    </row>
    <row r="178" spans="1:24" s="31" customFormat="1" ht="76.5">
      <c r="A178" s="76">
        <v>191</v>
      </c>
      <c r="B178" s="76" t="s">
        <v>21</v>
      </c>
      <c r="C178" s="76" t="s">
        <v>23</v>
      </c>
      <c r="D178" s="76" t="s">
        <v>80</v>
      </c>
      <c r="E178" s="76" t="s">
        <v>62</v>
      </c>
      <c r="F178" s="57" t="s">
        <v>60</v>
      </c>
      <c r="G178" s="57" t="s">
        <v>82</v>
      </c>
      <c r="H178" s="57" t="s">
        <v>81</v>
      </c>
      <c r="I178" s="57" t="s">
        <v>377</v>
      </c>
      <c r="J178" s="57" t="s">
        <v>378</v>
      </c>
      <c r="K178" s="76" t="s">
        <v>26</v>
      </c>
      <c r="L178" s="76" t="s">
        <v>396</v>
      </c>
      <c r="M178" s="76" t="s">
        <v>24</v>
      </c>
      <c r="N178" s="75">
        <v>1</v>
      </c>
      <c r="O178" s="75">
        <v>40484.129999999997</v>
      </c>
      <c r="P178" s="75">
        <f t="shared" ref="P178" si="47">O178*N178</f>
        <v>40484.129999999997</v>
      </c>
      <c r="Q178" s="59" t="s">
        <v>25</v>
      </c>
      <c r="R178" s="76" t="s">
        <v>442</v>
      </c>
      <c r="S178" s="76" t="s">
        <v>441</v>
      </c>
      <c r="T178" s="59" t="s">
        <v>255</v>
      </c>
      <c r="U178" s="76" t="s">
        <v>53</v>
      </c>
      <c r="V178" s="76" t="s">
        <v>57</v>
      </c>
      <c r="W178" s="76">
        <v>0</v>
      </c>
      <c r="X178" s="62"/>
    </row>
    <row r="179" spans="1:24" s="31" customFormat="1" ht="76.5">
      <c r="A179" s="28">
        <v>199</v>
      </c>
      <c r="B179" s="94" t="s">
        <v>21</v>
      </c>
      <c r="C179" s="93" t="s">
        <v>100</v>
      </c>
      <c r="D179" s="94" t="s">
        <v>766</v>
      </c>
      <c r="E179" s="94" t="s">
        <v>767</v>
      </c>
      <c r="F179" s="94" t="s">
        <v>768</v>
      </c>
      <c r="G179" s="94" t="s">
        <v>769</v>
      </c>
      <c r="H179" s="94" t="s">
        <v>770</v>
      </c>
      <c r="I179" s="94" t="s">
        <v>771</v>
      </c>
      <c r="J179" s="94" t="s">
        <v>772</v>
      </c>
      <c r="K179" s="93" t="s">
        <v>206</v>
      </c>
      <c r="L179" s="93"/>
      <c r="M179" s="93" t="s">
        <v>98</v>
      </c>
      <c r="N179" s="95">
        <v>1</v>
      </c>
      <c r="O179" s="95">
        <v>739989.29</v>
      </c>
      <c r="P179" s="75">
        <f t="shared" ref="P179:P195" si="48">O179*N179</f>
        <v>739989.29</v>
      </c>
      <c r="Q179" s="117" t="s">
        <v>774</v>
      </c>
      <c r="R179" s="93" t="s">
        <v>48</v>
      </c>
      <c r="S179" s="93" t="s">
        <v>37</v>
      </c>
      <c r="T179" s="117" t="s">
        <v>22</v>
      </c>
      <c r="U179" s="76" t="s">
        <v>482</v>
      </c>
      <c r="V179" s="76" t="s">
        <v>483</v>
      </c>
      <c r="W179" s="93">
        <v>0</v>
      </c>
      <c r="X179" s="93"/>
    </row>
    <row r="180" spans="1:24" s="31" customFormat="1" ht="76.5">
      <c r="A180" s="28">
        <v>205</v>
      </c>
      <c r="B180" s="94" t="s">
        <v>21</v>
      </c>
      <c r="C180" s="93" t="s">
        <v>100</v>
      </c>
      <c r="D180" s="94" t="s">
        <v>854</v>
      </c>
      <c r="E180" s="94" t="s">
        <v>858</v>
      </c>
      <c r="F180" s="94" t="s">
        <v>855</v>
      </c>
      <c r="G180" s="94" t="s">
        <v>857</v>
      </c>
      <c r="H180" s="94" t="s">
        <v>856</v>
      </c>
      <c r="I180" s="94" t="s">
        <v>858</v>
      </c>
      <c r="J180" s="94" t="s">
        <v>779</v>
      </c>
      <c r="K180" s="93" t="s">
        <v>206</v>
      </c>
      <c r="L180" s="93"/>
      <c r="M180" s="93" t="s">
        <v>98</v>
      </c>
      <c r="N180" s="95">
        <v>1</v>
      </c>
      <c r="O180" s="95">
        <v>119989.29</v>
      </c>
      <c r="P180" s="75">
        <f t="shared" si="48"/>
        <v>119989.29</v>
      </c>
      <c r="Q180" s="117" t="s">
        <v>406</v>
      </c>
      <c r="R180" s="93" t="s">
        <v>48</v>
      </c>
      <c r="S180" s="93" t="s">
        <v>37</v>
      </c>
      <c r="T180" s="117" t="s">
        <v>22</v>
      </c>
      <c r="U180" s="76" t="s">
        <v>482</v>
      </c>
      <c r="V180" s="76" t="s">
        <v>483</v>
      </c>
      <c r="W180" s="93">
        <v>0</v>
      </c>
      <c r="X180" s="93"/>
    </row>
    <row r="181" spans="1:24" s="31" customFormat="1" ht="76.5">
      <c r="A181" s="28">
        <v>206</v>
      </c>
      <c r="B181" s="94" t="s">
        <v>21</v>
      </c>
      <c r="C181" s="93" t="s">
        <v>100</v>
      </c>
      <c r="D181" s="94" t="s">
        <v>859</v>
      </c>
      <c r="E181" s="94" t="s">
        <v>863</v>
      </c>
      <c r="F181" s="94" t="s">
        <v>860</v>
      </c>
      <c r="G181" s="94" t="s">
        <v>862</v>
      </c>
      <c r="H181" s="94" t="s">
        <v>861</v>
      </c>
      <c r="I181" s="94" t="s">
        <v>864</v>
      </c>
      <c r="J181" s="94" t="s">
        <v>780</v>
      </c>
      <c r="K181" s="93" t="s">
        <v>206</v>
      </c>
      <c r="L181" s="93"/>
      <c r="M181" s="93" t="s">
        <v>98</v>
      </c>
      <c r="N181" s="95">
        <v>1</v>
      </c>
      <c r="O181" s="95">
        <v>28989.28571428571</v>
      </c>
      <c r="P181" s="75">
        <f t="shared" si="48"/>
        <v>28989.28571428571</v>
      </c>
      <c r="Q181" s="117" t="s">
        <v>406</v>
      </c>
      <c r="R181" s="93" t="s">
        <v>48</v>
      </c>
      <c r="S181" s="93" t="s">
        <v>37</v>
      </c>
      <c r="T181" s="117" t="s">
        <v>22</v>
      </c>
      <c r="U181" s="76" t="s">
        <v>482</v>
      </c>
      <c r="V181" s="76" t="s">
        <v>483</v>
      </c>
      <c r="W181" s="93">
        <v>0</v>
      </c>
      <c r="X181" s="93"/>
    </row>
    <row r="182" spans="1:24" s="31" customFormat="1" ht="120.75" customHeight="1">
      <c r="A182" s="28">
        <v>209</v>
      </c>
      <c r="B182" s="94" t="s">
        <v>21</v>
      </c>
      <c r="C182" s="93" t="s">
        <v>23</v>
      </c>
      <c r="D182" s="94" t="s">
        <v>96</v>
      </c>
      <c r="E182" s="94" t="s">
        <v>180</v>
      </c>
      <c r="F182" s="94" t="s">
        <v>181</v>
      </c>
      <c r="G182" s="94" t="s">
        <v>180</v>
      </c>
      <c r="H182" s="94" t="s">
        <v>181</v>
      </c>
      <c r="I182" s="94" t="s">
        <v>783</v>
      </c>
      <c r="J182" s="94" t="s">
        <v>782</v>
      </c>
      <c r="K182" s="93" t="s">
        <v>206</v>
      </c>
      <c r="L182" s="93"/>
      <c r="M182" s="93" t="s">
        <v>24</v>
      </c>
      <c r="N182" s="95">
        <v>1</v>
      </c>
      <c r="O182" s="95">
        <v>270000</v>
      </c>
      <c r="P182" s="75">
        <f t="shared" si="48"/>
        <v>270000</v>
      </c>
      <c r="Q182" s="117" t="s">
        <v>774</v>
      </c>
      <c r="R182" s="93" t="s">
        <v>48</v>
      </c>
      <c r="S182" s="93" t="s">
        <v>37</v>
      </c>
      <c r="T182" s="117" t="s">
        <v>22</v>
      </c>
      <c r="U182" s="76" t="s">
        <v>482</v>
      </c>
      <c r="V182" s="76" t="s">
        <v>483</v>
      </c>
      <c r="W182" s="93">
        <v>0</v>
      </c>
      <c r="X182" s="93"/>
    </row>
    <row r="183" spans="1:24" s="31" customFormat="1" ht="122.25" customHeight="1">
      <c r="A183" s="28">
        <v>210</v>
      </c>
      <c r="B183" s="94" t="s">
        <v>21</v>
      </c>
      <c r="C183" s="93" t="s">
        <v>23</v>
      </c>
      <c r="D183" s="94" t="s">
        <v>96</v>
      </c>
      <c r="E183" s="94" t="s">
        <v>180</v>
      </c>
      <c r="F183" s="94" t="s">
        <v>181</v>
      </c>
      <c r="G183" s="94" t="s">
        <v>180</v>
      </c>
      <c r="H183" s="94" t="s">
        <v>181</v>
      </c>
      <c r="I183" s="94" t="s">
        <v>785</v>
      </c>
      <c r="J183" s="94" t="s">
        <v>784</v>
      </c>
      <c r="K183" s="93" t="s">
        <v>206</v>
      </c>
      <c r="L183" s="93"/>
      <c r="M183" s="93" t="s">
        <v>24</v>
      </c>
      <c r="N183" s="95">
        <v>1</v>
      </c>
      <c r="O183" s="95">
        <v>129999.99999999999</v>
      </c>
      <c r="P183" s="75">
        <f t="shared" ref="P183:P188" si="49">O183*N183</f>
        <v>129999.99999999999</v>
      </c>
      <c r="Q183" s="117" t="s">
        <v>774</v>
      </c>
      <c r="R183" s="93" t="s">
        <v>48</v>
      </c>
      <c r="S183" s="93" t="s">
        <v>37</v>
      </c>
      <c r="T183" s="117" t="s">
        <v>22</v>
      </c>
      <c r="U183" s="76" t="s">
        <v>482</v>
      </c>
      <c r="V183" s="76" t="s">
        <v>483</v>
      </c>
      <c r="W183" s="93">
        <v>0</v>
      </c>
      <c r="X183" s="93"/>
    </row>
    <row r="184" spans="1:24" s="31" customFormat="1" ht="121.5" customHeight="1">
      <c r="A184" s="28">
        <v>211</v>
      </c>
      <c r="B184" s="94" t="s">
        <v>21</v>
      </c>
      <c r="C184" s="93" t="s">
        <v>23</v>
      </c>
      <c r="D184" s="94" t="s">
        <v>96</v>
      </c>
      <c r="E184" s="94" t="s">
        <v>180</v>
      </c>
      <c r="F184" s="94" t="s">
        <v>181</v>
      </c>
      <c r="G184" s="94" t="s">
        <v>180</v>
      </c>
      <c r="H184" s="94" t="s">
        <v>181</v>
      </c>
      <c r="I184" s="94" t="s">
        <v>787</v>
      </c>
      <c r="J184" s="94" t="s">
        <v>786</v>
      </c>
      <c r="K184" s="93" t="s">
        <v>206</v>
      </c>
      <c r="L184" s="93"/>
      <c r="M184" s="93" t="s">
        <v>24</v>
      </c>
      <c r="N184" s="95">
        <v>1</v>
      </c>
      <c r="O184" s="95">
        <v>189999.99999999997</v>
      </c>
      <c r="P184" s="75">
        <f t="shared" si="49"/>
        <v>189999.99999999997</v>
      </c>
      <c r="Q184" s="117" t="s">
        <v>774</v>
      </c>
      <c r="R184" s="93" t="s">
        <v>48</v>
      </c>
      <c r="S184" s="93" t="s">
        <v>37</v>
      </c>
      <c r="T184" s="117" t="s">
        <v>22</v>
      </c>
      <c r="U184" s="76" t="s">
        <v>482</v>
      </c>
      <c r="V184" s="76" t="s">
        <v>483</v>
      </c>
      <c r="W184" s="93">
        <v>0</v>
      </c>
      <c r="X184" s="93"/>
    </row>
    <row r="185" spans="1:24" s="31" customFormat="1" ht="114.75">
      <c r="A185" s="28">
        <v>213</v>
      </c>
      <c r="B185" s="94" t="s">
        <v>21</v>
      </c>
      <c r="C185" s="93" t="s">
        <v>23</v>
      </c>
      <c r="D185" s="94" t="s">
        <v>96</v>
      </c>
      <c r="E185" s="94" t="s">
        <v>180</v>
      </c>
      <c r="F185" s="94" t="s">
        <v>181</v>
      </c>
      <c r="G185" s="94" t="s">
        <v>180</v>
      </c>
      <c r="H185" s="94" t="s">
        <v>181</v>
      </c>
      <c r="I185" s="94" t="s">
        <v>789</v>
      </c>
      <c r="J185" s="94" t="s">
        <v>788</v>
      </c>
      <c r="K185" s="93" t="s">
        <v>206</v>
      </c>
      <c r="L185" s="93"/>
      <c r="M185" s="93" t="s">
        <v>24</v>
      </c>
      <c r="N185" s="95">
        <v>1</v>
      </c>
      <c r="O185" s="95">
        <v>359999.99999999994</v>
      </c>
      <c r="P185" s="75">
        <f t="shared" si="49"/>
        <v>359999.99999999994</v>
      </c>
      <c r="Q185" s="117" t="s">
        <v>774</v>
      </c>
      <c r="R185" s="93" t="s">
        <v>48</v>
      </c>
      <c r="S185" s="93" t="s">
        <v>37</v>
      </c>
      <c r="T185" s="117" t="s">
        <v>22</v>
      </c>
      <c r="U185" s="76" t="s">
        <v>482</v>
      </c>
      <c r="V185" s="76" t="s">
        <v>483</v>
      </c>
      <c r="W185" s="93">
        <v>0</v>
      </c>
      <c r="X185" s="93"/>
    </row>
    <row r="186" spans="1:24" s="31" customFormat="1" ht="114.75">
      <c r="A186" s="28">
        <v>214</v>
      </c>
      <c r="B186" s="94" t="s">
        <v>21</v>
      </c>
      <c r="C186" s="93" t="s">
        <v>23</v>
      </c>
      <c r="D186" s="94" t="s">
        <v>96</v>
      </c>
      <c r="E186" s="94" t="s">
        <v>180</v>
      </c>
      <c r="F186" s="94" t="s">
        <v>181</v>
      </c>
      <c r="G186" s="94" t="s">
        <v>180</v>
      </c>
      <c r="H186" s="94" t="s">
        <v>181</v>
      </c>
      <c r="I186" s="94" t="s">
        <v>791</v>
      </c>
      <c r="J186" s="94" t="s">
        <v>790</v>
      </c>
      <c r="K186" s="93" t="s">
        <v>206</v>
      </c>
      <c r="L186" s="93"/>
      <c r="M186" s="93" t="s">
        <v>24</v>
      </c>
      <c r="N186" s="95">
        <v>1</v>
      </c>
      <c r="O186" s="95">
        <v>209999.99999999997</v>
      </c>
      <c r="P186" s="75">
        <f t="shared" si="49"/>
        <v>209999.99999999997</v>
      </c>
      <c r="Q186" s="117" t="s">
        <v>853</v>
      </c>
      <c r="R186" s="93" t="s">
        <v>48</v>
      </c>
      <c r="S186" s="93" t="s">
        <v>37</v>
      </c>
      <c r="T186" s="117" t="s">
        <v>22</v>
      </c>
      <c r="U186" s="76" t="s">
        <v>482</v>
      </c>
      <c r="V186" s="76" t="s">
        <v>483</v>
      </c>
      <c r="W186" s="93">
        <v>0</v>
      </c>
      <c r="X186" s="93"/>
    </row>
    <row r="187" spans="1:24" s="31" customFormat="1" ht="114.75">
      <c r="A187" s="28">
        <v>215</v>
      </c>
      <c r="B187" s="94" t="s">
        <v>21</v>
      </c>
      <c r="C187" s="93" t="s">
        <v>23</v>
      </c>
      <c r="D187" s="94" t="s">
        <v>96</v>
      </c>
      <c r="E187" s="94" t="s">
        <v>180</v>
      </c>
      <c r="F187" s="94" t="s">
        <v>181</v>
      </c>
      <c r="G187" s="94" t="s">
        <v>180</v>
      </c>
      <c r="H187" s="94" t="s">
        <v>181</v>
      </c>
      <c r="I187" s="94" t="s">
        <v>793</v>
      </c>
      <c r="J187" s="94" t="s">
        <v>792</v>
      </c>
      <c r="K187" s="93" t="s">
        <v>206</v>
      </c>
      <c r="L187" s="93"/>
      <c r="M187" s="93" t="s">
        <v>24</v>
      </c>
      <c r="N187" s="95">
        <v>1</v>
      </c>
      <c r="O187" s="95">
        <v>449999.99999999994</v>
      </c>
      <c r="P187" s="75">
        <f t="shared" si="49"/>
        <v>449999.99999999994</v>
      </c>
      <c r="Q187" s="117" t="s">
        <v>774</v>
      </c>
      <c r="R187" s="93" t="s">
        <v>48</v>
      </c>
      <c r="S187" s="93" t="s">
        <v>37</v>
      </c>
      <c r="T187" s="117" t="s">
        <v>22</v>
      </c>
      <c r="U187" s="76" t="s">
        <v>482</v>
      </c>
      <c r="V187" s="76" t="s">
        <v>483</v>
      </c>
      <c r="W187" s="93">
        <v>0</v>
      </c>
      <c r="X187" s="93"/>
    </row>
    <row r="188" spans="1:24" s="31" customFormat="1" ht="114.75">
      <c r="A188" s="28">
        <v>216</v>
      </c>
      <c r="B188" s="94" t="s">
        <v>21</v>
      </c>
      <c r="C188" s="93" t="s">
        <v>23</v>
      </c>
      <c r="D188" s="94" t="s">
        <v>96</v>
      </c>
      <c r="E188" s="94" t="s">
        <v>180</v>
      </c>
      <c r="F188" s="94" t="s">
        <v>181</v>
      </c>
      <c r="G188" s="94" t="s">
        <v>180</v>
      </c>
      <c r="H188" s="94" t="s">
        <v>181</v>
      </c>
      <c r="I188" s="94" t="s">
        <v>795</v>
      </c>
      <c r="J188" s="94" t="s">
        <v>794</v>
      </c>
      <c r="K188" s="93" t="s">
        <v>206</v>
      </c>
      <c r="L188" s="93"/>
      <c r="M188" s="93" t="s">
        <v>24</v>
      </c>
      <c r="N188" s="95">
        <v>1</v>
      </c>
      <c r="O188" s="95">
        <v>600000</v>
      </c>
      <c r="P188" s="75">
        <f t="shared" si="49"/>
        <v>600000</v>
      </c>
      <c r="Q188" s="117" t="s">
        <v>774</v>
      </c>
      <c r="R188" s="93" t="s">
        <v>48</v>
      </c>
      <c r="S188" s="93" t="s">
        <v>37</v>
      </c>
      <c r="T188" s="117" t="s">
        <v>22</v>
      </c>
      <c r="U188" s="76" t="s">
        <v>482</v>
      </c>
      <c r="V188" s="76" t="s">
        <v>483</v>
      </c>
      <c r="W188" s="93">
        <v>0</v>
      </c>
      <c r="X188" s="93"/>
    </row>
    <row r="189" spans="1:24" s="31" customFormat="1" ht="114.75">
      <c r="A189" s="28">
        <v>217</v>
      </c>
      <c r="B189" s="94" t="s">
        <v>21</v>
      </c>
      <c r="C189" s="93" t="s">
        <v>23</v>
      </c>
      <c r="D189" s="94" t="s">
        <v>96</v>
      </c>
      <c r="E189" s="94" t="s">
        <v>180</v>
      </c>
      <c r="F189" s="94" t="s">
        <v>181</v>
      </c>
      <c r="G189" s="94" t="s">
        <v>180</v>
      </c>
      <c r="H189" s="94" t="s">
        <v>181</v>
      </c>
      <c r="I189" s="94" t="s">
        <v>797</v>
      </c>
      <c r="J189" s="94" t="s">
        <v>796</v>
      </c>
      <c r="K189" s="93" t="s">
        <v>206</v>
      </c>
      <c r="L189" s="93"/>
      <c r="M189" s="93" t="s">
        <v>24</v>
      </c>
      <c r="N189" s="95">
        <v>1</v>
      </c>
      <c r="O189" s="95">
        <v>400000</v>
      </c>
      <c r="P189" s="75">
        <f t="shared" ref="P189:P193" si="50">O189*N189</f>
        <v>400000</v>
      </c>
      <c r="Q189" s="117" t="s">
        <v>774</v>
      </c>
      <c r="R189" s="93" t="s">
        <v>48</v>
      </c>
      <c r="S189" s="93" t="s">
        <v>37</v>
      </c>
      <c r="T189" s="117" t="s">
        <v>22</v>
      </c>
      <c r="U189" s="76" t="s">
        <v>482</v>
      </c>
      <c r="V189" s="76" t="s">
        <v>483</v>
      </c>
      <c r="W189" s="93">
        <v>0</v>
      </c>
      <c r="X189" s="93"/>
    </row>
    <row r="190" spans="1:24" s="31" customFormat="1" ht="91.5" customHeight="1">
      <c r="A190" s="28">
        <v>218</v>
      </c>
      <c r="B190" s="94" t="s">
        <v>21</v>
      </c>
      <c r="C190" s="93" t="s">
        <v>23</v>
      </c>
      <c r="D190" s="94" t="s">
        <v>198</v>
      </c>
      <c r="E190" s="94" t="s">
        <v>391</v>
      </c>
      <c r="F190" s="94" t="s">
        <v>174</v>
      </c>
      <c r="G190" s="94" t="s">
        <v>391</v>
      </c>
      <c r="H190" s="94" t="s">
        <v>174</v>
      </c>
      <c r="I190" s="94" t="s">
        <v>811</v>
      </c>
      <c r="J190" s="94" t="s">
        <v>798</v>
      </c>
      <c r="K190" s="93" t="s">
        <v>26</v>
      </c>
      <c r="L190" s="93" t="s">
        <v>405</v>
      </c>
      <c r="M190" s="93" t="s">
        <v>24</v>
      </c>
      <c r="N190" s="95">
        <v>1</v>
      </c>
      <c r="O190" s="95">
        <v>39259436.999999993</v>
      </c>
      <c r="P190" s="75">
        <f t="shared" si="50"/>
        <v>39259436.999999993</v>
      </c>
      <c r="Q190" s="117" t="s">
        <v>406</v>
      </c>
      <c r="R190" s="93" t="s">
        <v>484</v>
      </c>
      <c r="S190" s="93" t="s">
        <v>427</v>
      </c>
      <c r="T190" s="117" t="s">
        <v>22</v>
      </c>
      <c r="U190" s="93" t="s">
        <v>482</v>
      </c>
      <c r="V190" s="93" t="s">
        <v>483</v>
      </c>
      <c r="W190" s="93">
        <v>0</v>
      </c>
      <c r="X190" s="93"/>
    </row>
    <row r="191" spans="1:24" s="31" customFormat="1" ht="87" customHeight="1">
      <c r="A191" s="28">
        <v>219</v>
      </c>
      <c r="B191" s="93" t="s">
        <v>21</v>
      </c>
      <c r="C191" s="94" t="s">
        <v>209</v>
      </c>
      <c r="D191" s="94" t="s">
        <v>799</v>
      </c>
      <c r="E191" s="94" t="s">
        <v>261</v>
      </c>
      <c r="F191" s="94" t="s">
        <v>800</v>
      </c>
      <c r="G191" s="94" t="s">
        <v>262</v>
      </c>
      <c r="H191" s="94" t="s">
        <v>801</v>
      </c>
      <c r="I191" s="94" t="s">
        <v>802</v>
      </c>
      <c r="J191" s="94" t="s">
        <v>803</v>
      </c>
      <c r="K191" s="93" t="s">
        <v>206</v>
      </c>
      <c r="L191" s="93"/>
      <c r="M191" s="93" t="s">
        <v>24</v>
      </c>
      <c r="N191" s="95">
        <v>1</v>
      </c>
      <c r="O191" s="95">
        <v>42750</v>
      </c>
      <c r="P191" s="75">
        <f t="shared" si="50"/>
        <v>42750</v>
      </c>
      <c r="Q191" s="117" t="s">
        <v>1514</v>
      </c>
      <c r="R191" s="125" t="s">
        <v>463</v>
      </c>
      <c r="S191" s="93" t="s">
        <v>462</v>
      </c>
      <c r="T191" s="117" t="s">
        <v>263</v>
      </c>
      <c r="U191" s="93" t="s">
        <v>264</v>
      </c>
      <c r="V191" s="93" t="s">
        <v>265</v>
      </c>
      <c r="W191" s="93">
        <v>0</v>
      </c>
      <c r="X191" s="93"/>
    </row>
    <row r="192" spans="1:24" s="31" customFormat="1" ht="63.75">
      <c r="A192" s="28">
        <v>220</v>
      </c>
      <c r="B192" s="93" t="s">
        <v>21</v>
      </c>
      <c r="C192" s="93" t="s">
        <v>23</v>
      </c>
      <c r="D192" s="94" t="s">
        <v>804</v>
      </c>
      <c r="E192" s="94" t="s">
        <v>805</v>
      </c>
      <c r="F192" s="94" t="s">
        <v>806</v>
      </c>
      <c r="G192" s="94" t="s">
        <v>805</v>
      </c>
      <c r="H192" s="94" t="s">
        <v>806</v>
      </c>
      <c r="I192" s="94" t="s">
        <v>807</v>
      </c>
      <c r="J192" s="94" t="s">
        <v>808</v>
      </c>
      <c r="K192" s="93" t="s">
        <v>206</v>
      </c>
      <c r="L192" s="93"/>
      <c r="M192" s="93" t="s">
        <v>809</v>
      </c>
      <c r="N192" s="95">
        <v>1</v>
      </c>
      <c r="O192" s="95">
        <v>73999.999999999985</v>
      </c>
      <c r="P192" s="75">
        <f t="shared" si="50"/>
        <v>73999.999999999985</v>
      </c>
      <c r="Q192" s="117" t="s">
        <v>317</v>
      </c>
      <c r="R192" s="93" t="s">
        <v>463</v>
      </c>
      <c r="S192" s="93" t="s">
        <v>462</v>
      </c>
      <c r="T192" s="117" t="s">
        <v>22</v>
      </c>
      <c r="U192" s="93" t="s">
        <v>482</v>
      </c>
      <c r="V192" s="93" t="s">
        <v>483</v>
      </c>
      <c r="W192" s="93">
        <v>0</v>
      </c>
      <c r="X192" s="93"/>
    </row>
    <row r="193" spans="1:24" s="31" customFormat="1" ht="69" customHeight="1">
      <c r="A193" s="28">
        <v>221</v>
      </c>
      <c r="B193" s="93" t="s">
        <v>21</v>
      </c>
      <c r="C193" s="93" t="s">
        <v>23</v>
      </c>
      <c r="D193" s="94" t="s">
        <v>846</v>
      </c>
      <c r="E193" s="94" t="s">
        <v>848</v>
      </c>
      <c r="F193" s="94" t="s">
        <v>847</v>
      </c>
      <c r="G193" s="94" t="s">
        <v>848</v>
      </c>
      <c r="H193" s="94" t="s">
        <v>847</v>
      </c>
      <c r="I193" s="94" t="s">
        <v>849</v>
      </c>
      <c r="J193" s="94" t="s">
        <v>813</v>
      </c>
      <c r="K193" s="93" t="s">
        <v>206</v>
      </c>
      <c r="L193" s="93"/>
      <c r="M193" s="93" t="s">
        <v>809</v>
      </c>
      <c r="N193" s="95">
        <v>1</v>
      </c>
      <c r="O193" s="95">
        <v>5082552</v>
      </c>
      <c r="P193" s="75">
        <f t="shared" si="50"/>
        <v>5082552</v>
      </c>
      <c r="Q193" s="117" t="s">
        <v>317</v>
      </c>
      <c r="R193" s="93" t="s">
        <v>484</v>
      </c>
      <c r="S193" s="93" t="s">
        <v>427</v>
      </c>
      <c r="T193" s="117" t="s">
        <v>22</v>
      </c>
      <c r="U193" s="93" t="s">
        <v>482</v>
      </c>
      <c r="V193" s="93" t="s">
        <v>483</v>
      </c>
      <c r="W193" s="93">
        <v>0</v>
      </c>
      <c r="X193" s="93"/>
    </row>
    <row r="194" spans="1:24" s="31" customFormat="1" ht="102">
      <c r="A194" s="28">
        <v>222</v>
      </c>
      <c r="B194" s="93" t="s">
        <v>21</v>
      </c>
      <c r="C194" s="93" t="s">
        <v>23</v>
      </c>
      <c r="D194" s="94" t="s">
        <v>238</v>
      </c>
      <c r="E194" s="94" t="s">
        <v>851</v>
      </c>
      <c r="F194" s="94" t="s">
        <v>239</v>
      </c>
      <c r="G194" s="94" t="s">
        <v>850</v>
      </c>
      <c r="H194" s="94" t="s">
        <v>240</v>
      </c>
      <c r="I194" s="94" t="s">
        <v>852</v>
      </c>
      <c r="J194" s="94" t="s">
        <v>812</v>
      </c>
      <c r="K194" s="93" t="s">
        <v>206</v>
      </c>
      <c r="L194" s="93"/>
      <c r="M194" s="93" t="s">
        <v>809</v>
      </c>
      <c r="N194" s="95">
        <v>1</v>
      </c>
      <c r="O194" s="95">
        <v>1344000</v>
      </c>
      <c r="P194" s="75">
        <f t="shared" si="48"/>
        <v>1344000</v>
      </c>
      <c r="Q194" s="117" t="s">
        <v>774</v>
      </c>
      <c r="R194" s="93" t="s">
        <v>898</v>
      </c>
      <c r="S194" s="93" t="s">
        <v>899</v>
      </c>
      <c r="T194" s="117" t="s">
        <v>22</v>
      </c>
      <c r="U194" s="93" t="s">
        <v>482</v>
      </c>
      <c r="V194" s="93" t="s">
        <v>483</v>
      </c>
      <c r="W194" s="93">
        <v>0</v>
      </c>
      <c r="X194" s="93"/>
    </row>
    <row r="195" spans="1:24" s="31" customFormat="1" ht="76.5">
      <c r="A195" s="28">
        <v>224</v>
      </c>
      <c r="B195" s="93" t="s">
        <v>21</v>
      </c>
      <c r="C195" s="93" t="s">
        <v>100</v>
      </c>
      <c r="D195" s="126" t="s">
        <v>814</v>
      </c>
      <c r="E195" s="93" t="s">
        <v>815</v>
      </c>
      <c r="F195" s="93" t="s">
        <v>270</v>
      </c>
      <c r="G195" s="93" t="s">
        <v>816</v>
      </c>
      <c r="H195" s="93" t="s">
        <v>817</v>
      </c>
      <c r="I195" s="127" t="s">
        <v>819</v>
      </c>
      <c r="J195" s="127" t="s">
        <v>818</v>
      </c>
      <c r="K195" s="93" t="s">
        <v>206</v>
      </c>
      <c r="L195" s="93"/>
      <c r="M195" s="93" t="s">
        <v>269</v>
      </c>
      <c r="N195" s="95">
        <v>15</v>
      </c>
      <c r="O195" s="95">
        <v>4500</v>
      </c>
      <c r="P195" s="95">
        <f t="shared" si="48"/>
        <v>67500</v>
      </c>
      <c r="Q195" s="117" t="s">
        <v>406</v>
      </c>
      <c r="R195" s="96" t="s">
        <v>207</v>
      </c>
      <c r="S195" s="93" t="s">
        <v>208</v>
      </c>
      <c r="T195" s="117" t="s">
        <v>22</v>
      </c>
      <c r="U195" s="93" t="s">
        <v>482</v>
      </c>
      <c r="V195" s="93" t="s">
        <v>483</v>
      </c>
      <c r="W195" s="93">
        <v>0</v>
      </c>
      <c r="X195" s="93"/>
    </row>
    <row r="196" spans="1:24" s="31" customFormat="1" ht="76.5">
      <c r="A196" s="28">
        <v>225</v>
      </c>
      <c r="B196" s="55" t="s">
        <v>21</v>
      </c>
      <c r="C196" s="76" t="s">
        <v>36</v>
      </c>
      <c r="D196" s="57" t="s">
        <v>564</v>
      </c>
      <c r="E196" s="57" t="s">
        <v>565</v>
      </c>
      <c r="F196" s="57" t="s">
        <v>566</v>
      </c>
      <c r="G196" s="57" t="s">
        <v>567</v>
      </c>
      <c r="H196" s="57" t="s">
        <v>568</v>
      </c>
      <c r="I196" s="57" t="s">
        <v>570</v>
      </c>
      <c r="J196" s="57" t="s">
        <v>569</v>
      </c>
      <c r="K196" s="76" t="s">
        <v>206</v>
      </c>
      <c r="L196" s="55"/>
      <c r="M196" s="76" t="s">
        <v>98</v>
      </c>
      <c r="N196" s="61">
        <v>300</v>
      </c>
      <c r="O196" s="61">
        <v>1825.9999999999998</v>
      </c>
      <c r="P196" s="75">
        <f t="shared" ref="P196:P197" si="51">N196*O196</f>
        <v>547799.99999999988</v>
      </c>
      <c r="Q196" s="59" t="s">
        <v>406</v>
      </c>
      <c r="R196" s="54" t="s">
        <v>207</v>
      </c>
      <c r="S196" s="76" t="s">
        <v>208</v>
      </c>
      <c r="T196" s="76" t="s">
        <v>22</v>
      </c>
      <c r="U196" s="76" t="s">
        <v>482</v>
      </c>
      <c r="V196" s="76" t="s">
        <v>483</v>
      </c>
      <c r="W196" s="76">
        <v>0</v>
      </c>
      <c r="X196" s="119" t="s">
        <v>440</v>
      </c>
    </row>
    <row r="197" spans="1:24" s="31" customFormat="1" ht="76.5">
      <c r="A197" s="28">
        <v>226</v>
      </c>
      <c r="B197" s="55" t="s">
        <v>21</v>
      </c>
      <c r="C197" s="76" t="s">
        <v>36</v>
      </c>
      <c r="D197" s="76" t="s">
        <v>413</v>
      </c>
      <c r="E197" s="57" t="s">
        <v>634</v>
      </c>
      <c r="F197" s="57" t="s">
        <v>414</v>
      </c>
      <c r="G197" s="57" t="s">
        <v>635</v>
      </c>
      <c r="H197" s="57" t="s">
        <v>415</v>
      </c>
      <c r="I197" s="57" t="s">
        <v>637</v>
      </c>
      <c r="J197" s="57" t="s">
        <v>636</v>
      </c>
      <c r="K197" s="76" t="s">
        <v>206</v>
      </c>
      <c r="L197" s="76"/>
      <c r="M197" s="76" t="s">
        <v>99</v>
      </c>
      <c r="N197" s="75">
        <v>20</v>
      </c>
      <c r="O197" s="75">
        <v>1899.9999999999998</v>
      </c>
      <c r="P197" s="84">
        <f t="shared" si="51"/>
        <v>37999.999999999993</v>
      </c>
      <c r="Q197" s="59" t="s">
        <v>406</v>
      </c>
      <c r="R197" s="54" t="s">
        <v>207</v>
      </c>
      <c r="S197" s="76" t="s">
        <v>208</v>
      </c>
      <c r="T197" s="62" t="s">
        <v>22</v>
      </c>
      <c r="U197" s="76" t="s">
        <v>482</v>
      </c>
      <c r="V197" s="76" t="s">
        <v>483</v>
      </c>
      <c r="W197" s="76">
        <v>0</v>
      </c>
      <c r="X197" s="75"/>
    </row>
    <row r="198" spans="1:24" s="31" customFormat="1" ht="76.5">
      <c r="A198" s="28">
        <v>227</v>
      </c>
      <c r="B198" s="94" t="s">
        <v>21</v>
      </c>
      <c r="C198" s="93" t="s">
        <v>100</v>
      </c>
      <c r="D198" s="94" t="s">
        <v>820</v>
      </c>
      <c r="E198" s="128" t="s">
        <v>821</v>
      </c>
      <c r="F198" s="94" t="s">
        <v>822</v>
      </c>
      <c r="G198" s="94" t="s">
        <v>823</v>
      </c>
      <c r="H198" s="94" t="s">
        <v>824</v>
      </c>
      <c r="I198" s="129" t="s">
        <v>825</v>
      </c>
      <c r="J198" s="93" t="s">
        <v>826</v>
      </c>
      <c r="K198" s="93" t="s">
        <v>206</v>
      </c>
      <c r="L198" s="93"/>
      <c r="M198" s="93" t="s">
        <v>99</v>
      </c>
      <c r="N198" s="95">
        <v>2</v>
      </c>
      <c r="O198" s="95">
        <v>1062.5</v>
      </c>
      <c r="P198" s="95">
        <f t="shared" ref="P198:P204" si="52">O198*N198</f>
        <v>2125</v>
      </c>
      <c r="Q198" s="117" t="s">
        <v>406</v>
      </c>
      <c r="R198" s="96" t="s">
        <v>207</v>
      </c>
      <c r="S198" s="93" t="s">
        <v>208</v>
      </c>
      <c r="T198" s="62" t="s">
        <v>22</v>
      </c>
      <c r="U198" s="76" t="s">
        <v>482</v>
      </c>
      <c r="V198" s="76" t="s">
        <v>483</v>
      </c>
      <c r="W198" s="76">
        <v>0</v>
      </c>
      <c r="X198" s="93"/>
    </row>
    <row r="199" spans="1:24" s="31" customFormat="1" ht="87" customHeight="1">
      <c r="A199" s="28">
        <v>228</v>
      </c>
      <c r="B199" s="94" t="s">
        <v>21</v>
      </c>
      <c r="C199" s="93" t="s">
        <v>100</v>
      </c>
      <c r="D199" s="94" t="s">
        <v>827</v>
      </c>
      <c r="E199" s="128" t="s">
        <v>821</v>
      </c>
      <c r="F199" s="94" t="s">
        <v>822</v>
      </c>
      <c r="G199" s="94" t="s">
        <v>828</v>
      </c>
      <c r="H199" s="94" t="s">
        <v>829</v>
      </c>
      <c r="I199" s="129" t="s">
        <v>830</v>
      </c>
      <c r="J199" s="93" t="s">
        <v>831</v>
      </c>
      <c r="K199" s="93" t="s">
        <v>206</v>
      </c>
      <c r="L199" s="93"/>
      <c r="M199" s="93" t="s">
        <v>99</v>
      </c>
      <c r="N199" s="95">
        <v>3</v>
      </c>
      <c r="O199" s="95">
        <v>1776.78</v>
      </c>
      <c r="P199" s="95">
        <f t="shared" si="52"/>
        <v>5330.34</v>
      </c>
      <c r="Q199" s="117" t="s">
        <v>406</v>
      </c>
      <c r="R199" s="96" t="s">
        <v>207</v>
      </c>
      <c r="S199" s="93" t="s">
        <v>208</v>
      </c>
      <c r="T199" s="62" t="s">
        <v>22</v>
      </c>
      <c r="U199" s="76" t="s">
        <v>482</v>
      </c>
      <c r="V199" s="76" t="s">
        <v>483</v>
      </c>
      <c r="W199" s="76">
        <v>0</v>
      </c>
      <c r="X199" s="93"/>
    </row>
    <row r="200" spans="1:24" s="31" customFormat="1" ht="81.75" customHeight="1">
      <c r="A200" s="28">
        <v>229</v>
      </c>
      <c r="B200" s="94" t="s">
        <v>21</v>
      </c>
      <c r="C200" s="93" t="s">
        <v>100</v>
      </c>
      <c r="D200" s="94" t="s">
        <v>865</v>
      </c>
      <c r="E200" s="128" t="s">
        <v>870</v>
      </c>
      <c r="F200" s="94" t="s">
        <v>866</v>
      </c>
      <c r="G200" s="94" t="s">
        <v>869</v>
      </c>
      <c r="H200" s="94" t="s">
        <v>868</v>
      </c>
      <c r="I200" s="129" t="s">
        <v>833</v>
      </c>
      <c r="J200" s="93" t="s">
        <v>832</v>
      </c>
      <c r="K200" s="93" t="s">
        <v>206</v>
      </c>
      <c r="L200" s="93"/>
      <c r="M200" s="76" t="s">
        <v>98</v>
      </c>
      <c r="N200" s="95">
        <v>50</v>
      </c>
      <c r="O200" s="95">
        <v>899.99999999999989</v>
      </c>
      <c r="P200" s="95">
        <f t="shared" si="52"/>
        <v>44999.999999999993</v>
      </c>
      <c r="Q200" s="117" t="s">
        <v>406</v>
      </c>
      <c r="R200" s="96" t="s">
        <v>207</v>
      </c>
      <c r="S200" s="93" t="s">
        <v>208</v>
      </c>
      <c r="T200" s="62" t="s">
        <v>22</v>
      </c>
      <c r="U200" s="76" t="s">
        <v>482</v>
      </c>
      <c r="V200" s="76" t="s">
        <v>483</v>
      </c>
      <c r="W200" s="76">
        <v>0</v>
      </c>
      <c r="X200" s="93"/>
    </row>
    <row r="201" spans="1:24" s="31" customFormat="1" ht="76.5">
      <c r="A201" s="28">
        <v>230</v>
      </c>
      <c r="B201" s="93" t="s">
        <v>21</v>
      </c>
      <c r="C201" s="93" t="s">
        <v>36</v>
      </c>
      <c r="D201" s="93" t="s">
        <v>834</v>
      </c>
      <c r="E201" s="93" t="s">
        <v>835</v>
      </c>
      <c r="F201" s="93" t="s">
        <v>835</v>
      </c>
      <c r="G201" s="93" t="s">
        <v>836</v>
      </c>
      <c r="H201" s="93" t="s">
        <v>837</v>
      </c>
      <c r="I201" s="94" t="s">
        <v>838</v>
      </c>
      <c r="J201" s="94" t="s">
        <v>839</v>
      </c>
      <c r="K201" s="93" t="s">
        <v>206</v>
      </c>
      <c r="L201" s="93"/>
      <c r="M201" s="93" t="s">
        <v>99</v>
      </c>
      <c r="N201" s="95">
        <v>2</v>
      </c>
      <c r="O201" s="95">
        <v>4100</v>
      </c>
      <c r="P201" s="95">
        <f t="shared" ref="P201:P202" si="53">N201*O201</f>
        <v>8200</v>
      </c>
      <c r="Q201" s="117" t="s">
        <v>406</v>
      </c>
      <c r="R201" s="96" t="s">
        <v>207</v>
      </c>
      <c r="S201" s="93" t="s">
        <v>208</v>
      </c>
      <c r="T201" s="62" t="s">
        <v>22</v>
      </c>
      <c r="U201" s="76" t="s">
        <v>482</v>
      </c>
      <c r="V201" s="76" t="s">
        <v>483</v>
      </c>
      <c r="W201" s="76">
        <v>0</v>
      </c>
      <c r="X201" s="93"/>
    </row>
    <row r="202" spans="1:24" s="31" customFormat="1" ht="63.75">
      <c r="A202" s="28">
        <v>231</v>
      </c>
      <c r="B202" s="55" t="s">
        <v>21</v>
      </c>
      <c r="C202" s="82" t="s">
        <v>100</v>
      </c>
      <c r="D202" s="82" t="s">
        <v>626</v>
      </c>
      <c r="E202" s="83" t="s">
        <v>627</v>
      </c>
      <c r="F202" s="83" t="s">
        <v>628</v>
      </c>
      <c r="G202" s="83" t="s">
        <v>629</v>
      </c>
      <c r="H202" s="83" t="s">
        <v>630</v>
      </c>
      <c r="I202" s="83" t="s">
        <v>631</v>
      </c>
      <c r="J202" s="83" t="s">
        <v>632</v>
      </c>
      <c r="K202" s="82" t="s">
        <v>206</v>
      </c>
      <c r="L202" s="82"/>
      <c r="M202" s="83" t="s">
        <v>633</v>
      </c>
      <c r="N202" s="75">
        <v>1000</v>
      </c>
      <c r="O202" s="75">
        <v>275</v>
      </c>
      <c r="P202" s="84">
        <f t="shared" si="53"/>
        <v>275000</v>
      </c>
      <c r="Q202" s="59" t="s">
        <v>774</v>
      </c>
      <c r="R202" s="54" t="s">
        <v>463</v>
      </c>
      <c r="S202" s="76" t="s">
        <v>462</v>
      </c>
      <c r="T202" s="62" t="s">
        <v>22</v>
      </c>
      <c r="U202" s="76" t="s">
        <v>482</v>
      </c>
      <c r="V202" s="76" t="s">
        <v>483</v>
      </c>
      <c r="W202" s="76">
        <v>0</v>
      </c>
      <c r="X202" s="93"/>
    </row>
    <row r="203" spans="1:24" s="31" customFormat="1" ht="63.75">
      <c r="A203" s="28">
        <v>232</v>
      </c>
      <c r="B203" s="55" t="s">
        <v>21</v>
      </c>
      <c r="C203" s="82" t="s">
        <v>100</v>
      </c>
      <c r="D203" s="94" t="s">
        <v>840</v>
      </c>
      <c r="E203" s="83" t="s">
        <v>627</v>
      </c>
      <c r="F203" s="83" t="s">
        <v>628</v>
      </c>
      <c r="G203" s="94" t="s">
        <v>842</v>
      </c>
      <c r="H203" s="94" t="s">
        <v>841</v>
      </c>
      <c r="I203" s="83" t="s">
        <v>844</v>
      </c>
      <c r="J203" s="83" t="s">
        <v>843</v>
      </c>
      <c r="K203" s="82" t="s">
        <v>206</v>
      </c>
      <c r="L203" s="93"/>
      <c r="M203" s="83" t="s">
        <v>633</v>
      </c>
      <c r="N203" s="95">
        <v>500</v>
      </c>
      <c r="O203" s="95">
        <v>270</v>
      </c>
      <c r="P203" s="95">
        <f t="shared" si="52"/>
        <v>135000</v>
      </c>
      <c r="Q203" s="117" t="s">
        <v>774</v>
      </c>
      <c r="R203" s="54" t="s">
        <v>463</v>
      </c>
      <c r="S203" s="76" t="s">
        <v>462</v>
      </c>
      <c r="T203" s="62" t="s">
        <v>22</v>
      </c>
      <c r="U203" s="76" t="s">
        <v>482</v>
      </c>
      <c r="V203" s="76" t="s">
        <v>483</v>
      </c>
      <c r="W203" s="76">
        <v>0</v>
      </c>
      <c r="X203" s="93"/>
    </row>
    <row r="204" spans="1:24" s="31" customFormat="1" ht="76.5">
      <c r="A204" s="28">
        <v>233</v>
      </c>
      <c r="B204" s="55" t="s">
        <v>21</v>
      </c>
      <c r="C204" s="82" t="s">
        <v>100</v>
      </c>
      <c r="D204" s="94" t="s">
        <v>914</v>
      </c>
      <c r="E204" s="128" t="s">
        <v>871</v>
      </c>
      <c r="F204" s="94" t="s">
        <v>867</v>
      </c>
      <c r="G204" s="94" t="s">
        <v>916</v>
      </c>
      <c r="H204" s="94" t="s">
        <v>915</v>
      </c>
      <c r="I204" s="129" t="s">
        <v>872</v>
      </c>
      <c r="J204" s="93" t="s">
        <v>845</v>
      </c>
      <c r="K204" s="93" t="s">
        <v>206</v>
      </c>
      <c r="L204" s="93"/>
      <c r="M204" s="76" t="s">
        <v>98</v>
      </c>
      <c r="N204" s="95">
        <v>2</v>
      </c>
      <c r="O204" s="95">
        <v>35000</v>
      </c>
      <c r="P204" s="95">
        <f t="shared" si="52"/>
        <v>70000</v>
      </c>
      <c r="Q204" s="117" t="s">
        <v>853</v>
      </c>
      <c r="R204" s="54" t="s">
        <v>207</v>
      </c>
      <c r="S204" s="76" t="s">
        <v>208</v>
      </c>
      <c r="T204" s="62" t="s">
        <v>22</v>
      </c>
      <c r="U204" s="76" t="s">
        <v>482</v>
      </c>
      <c r="V204" s="76" t="s">
        <v>483</v>
      </c>
      <c r="W204" s="76">
        <v>0</v>
      </c>
      <c r="X204" s="93"/>
    </row>
    <row r="205" spans="1:24" s="31" customFormat="1" ht="79.5" customHeight="1">
      <c r="A205" s="28">
        <v>235</v>
      </c>
      <c r="B205" s="93" t="s">
        <v>21</v>
      </c>
      <c r="C205" s="93" t="s">
        <v>23</v>
      </c>
      <c r="D205" s="93" t="s">
        <v>86</v>
      </c>
      <c r="E205" s="93" t="s">
        <v>183</v>
      </c>
      <c r="F205" s="93" t="s">
        <v>184</v>
      </c>
      <c r="G205" s="93" t="s">
        <v>183</v>
      </c>
      <c r="H205" s="93" t="s">
        <v>184</v>
      </c>
      <c r="I205" s="93" t="s">
        <v>877</v>
      </c>
      <c r="J205" s="93" t="s">
        <v>878</v>
      </c>
      <c r="K205" s="93" t="s">
        <v>26</v>
      </c>
      <c r="L205" s="93" t="s">
        <v>405</v>
      </c>
      <c r="M205" s="93" t="s">
        <v>24</v>
      </c>
      <c r="N205" s="93">
        <v>1</v>
      </c>
      <c r="O205" s="93">
        <v>359998</v>
      </c>
      <c r="P205" s="93">
        <v>359998</v>
      </c>
      <c r="Q205" s="93" t="s">
        <v>406</v>
      </c>
      <c r="R205" s="93" t="s">
        <v>428</v>
      </c>
      <c r="S205" s="93" t="s">
        <v>427</v>
      </c>
      <c r="T205" s="93" t="s">
        <v>22</v>
      </c>
      <c r="U205" s="93" t="s">
        <v>482</v>
      </c>
      <c r="V205" s="93" t="s">
        <v>483</v>
      </c>
      <c r="W205" s="93">
        <v>0</v>
      </c>
      <c r="X205" s="28"/>
    </row>
    <row r="206" spans="1:24" s="31" customFormat="1" ht="79.5" customHeight="1">
      <c r="A206" s="55">
        <v>236</v>
      </c>
      <c r="B206" s="55" t="s">
        <v>21</v>
      </c>
      <c r="C206" s="55" t="s">
        <v>23</v>
      </c>
      <c r="D206" s="55" t="s">
        <v>879</v>
      </c>
      <c r="E206" s="55" t="s">
        <v>880</v>
      </c>
      <c r="F206" s="55" t="s">
        <v>881</v>
      </c>
      <c r="G206" s="55" t="s">
        <v>882</v>
      </c>
      <c r="H206" s="55" t="s">
        <v>883</v>
      </c>
      <c r="I206" s="55" t="s">
        <v>884</v>
      </c>
      <c r="J206" s="55" t="s">
        <v>885</v>
      </c>
      <c r="K206" s="55" t="s">
        <v>205</v>
      </c>
      <c r="L206" s="55"/>
      <c r="M206" s="55" t="s">
        <v>24</v>
      </c>
      <c r="N206" s="55">
        <v>1</v>
      </c>
      <c r="O206" s="55">
        <v>12000000</v>
      </c>
      <c r="P206" s="55">
        <v>12000000</v>
      </c>
      <c r="Q206" s="55" t="s">
        <v>406</v>
      </c>
      <c r="R206" s="55" t="s">
        <v>886</v>
      </c>
      <c r="S206" s="55" t="s">
        <v>887</v>
      </c>
      <c r="T206" s="55" t="s">
        <v>22</v>
      </c>
      <c r="U206" s="55" t="s">
        <v>482</v>
      </c>
      <c r="V206" s="55" t="s">
        <v>483</v>
      </c>
      <c r="W206" s="55">
        <v>0</v>
      </c>
      <c r="X206" s="28"/>
    </row>
    <row r="207" spans="1:24" s="31" customFormat="1" ht="79.5" customHeight="1">
      <c r="A207" s="28">
        <v>237</v>
      </c>
      <c r="B207" s="55" t="s">
        <v>21</v>
      </c>
      <c r="C207" s="55" t="s">
        <v>23</v>
      </c>
      <c r="D207" s="55" t="s">
        <v>96</v>
      </c>
      <c r="E207" s="55" t="s">
        <v>180</v>
      </c>
      <c r="F207" s="55" t="s">
        <v>181</v>
      </c>
      <c r="G207" s="55" t="s">
        <v>180</v>
      </c>
      <c r="H207" s="55" t="s">
        <v>181</v>
      </c>
      <c r="I207" s="55" t="s">
        <v>873</v>
      </c>
      <c r="J207" s="55" t="s">
        <v>874</v>
      </c>
      <c r="K207" s="55" t="s">
        <v>206</v>
      </c>
      <c r="L207" s="55"/>
      <c r="M207" s="55" t="s">
        <v>24</v>
      </c>
      <c r="N207" s="55">
        <v>1</v>
      </c>
      <c r="O207" s="55">
        <v>360000</v>
      </c>
      <c r="P207" s="55">
        <v>360000</v>
      </c>
      <c r="Q207" s="55" t="s">
        <v>774</v>
      </c>
      <c r="R207" s="55" t="s">
        <v>48</v>
      </c>
      <c r="S207" s="55" t="s">
        <v>37</v>
      </c>
      <c r="T207" s="55">
        <v>711210000</v>
      </c>
      <c r="U207" s="55" t="s">
        <v>482</v>
      </c>
      <c r="V207" s="55" t="s">
        <v>483</v>
      </c>
      <c r="W207" s="55">
        <v>0</v>
      </c>
      <c r="X207" s="28"/>
    </row>
    <row r="208" spans="1:24" s="31" customFormat="1" ht="79.5" customHeight="1">
      <c r="A208" s="55">
        <v>238</v>
      </c>
      <c r="B208" s="55" t="s">
        <v>21</v>
      </c>
      <c r="C208" s="55" t="s">
        <v>23</v>
      </c>
      <c r="D208" s="55" t="s">
        <v>96</v>
      </c>
      <c r="E208" s="55" t="s">
        <v>180</v>
      </c>
      <c r="F208" s="55" t="s">
        <v>181</v>
      </c>
      <c r="G208" s="55" t="s">
        <v>180</v>
      </c>
      <c r="H208" s="55" t="s">
        <v>181</v>
      </c>
      <c r="I208" s="55" t="s">
        <v>875</v>
      </c>
      <c r="J208" s="55" t="s">
        <v>876</v>
      </c>
      <c r="K208" s="55" t="s">
        <v>205</v>
      </c>
      <c r="L208" s="55"/>
      <c r="M208" s="55" t="s">
        <v>24</v>
      </c>
      <c r="N208" s="55">
        <v>1</v>
      </c>
      <c r="O208" s="55">
        <v>1150000</v>
      </c>
      <c r="P208" s="55">
        <v>1150000</v>
      </c>
      <c r="Q208" s="130" t="s">
        <v>853</v>
      </c>
      <c r="R208" s="55" t="s">
        <v>48</v>
      </c>
      <c r="S208" s="55" t="s">
        <v>37</v>
      </c>
      <c r="T208" s="55">
        <v>711210000</v>
      </c>
      <c r="U208" s="55" t="s">
        <v>482</v>
      </c>
      <c r="V208" s="55" t="s">
        <v>483</v>
      </c>
      <c r="W208" s="55">
        <v>0</v>
      </c>
      <c r="X208" s="28"/>
    </row>
    <row r="209" spans="1:24" s="31" customFormat="1" ht="79.5" customHeight="1">
      <c r="A209" s="55">
        <v>242</v>
      </c>
      <c r="B209" s="93" t="s">
        <v>21</v>
      </c>
      <c r="C209" s="93" t="s">
        <v>100</v>
      </c>
      <c r="D209" s="94" t="s">
        <v>888</v>
      </c>
      <c r="E209" s="94" t="s">
        <v>889</v>
      </c>
      <c r="F209" s="94" t="s">
        <v>890</v>
      </c>
      <c r="G209" s="94" t="s">
        <v>891</v>
      </c>
      <c r="H209" s="94" t="s">
        <v>892</v>
      </c>
      <c r="I209" s="94" t="s">
        <v>893</v>
      </c>
      <c r="J209" s="94" t="s">
        <v>894</v>
      </c>
      <c r="K209" s="55" t="s">
        <v>205</v>
      </c>
      <c r="L209" s="94"/>
      <c r="M209" s="93" t="s">
        <v>895</v>
      </c>
      <c r="N209" s="95">
        <v>1</v>
      </c>
      <c r="O209" s="95">
        <v>96623153.569999993</v>
      </c>
      <c r="P209" s="95">
        <f t="shared" ref="P209:P210" si="54">O209*N209</f>
        <v>96623153.569999993</v>
      </c>
      <c r="Q209" s="117" t="s">
        <v>917</v>
      </c>
      <c r="R209" s="96" t="s">
        <v>896</v>
      </c>
      <c r="S209" s="93" t="s">
        <v>897</v>
      </c>
      <c r="T209" s="97" t="s">
        <v>22</v>
      </c>
      <c r="U209" s="93" t="s">
        <v>482</v>
      </c>
      <c r="V209" s="93" t="s">
        <v>483</v>
      </c>
      <c r="W209" s="93">
        <v>0</v>
      </c>
      <c r="X209" s="93"/>
    </row>
    <row r="210" spans="1:24" s="31" customFormat="1" ht="79.5" customHeight="1">
      <c r="A210" s="93">
        <v>243</v>
      </c>
      <c r="B210" s="76" t="s">
        <v>21</v>
      </c>
      <c r="C210" s="76" t="s">
        <v>61</v>
      </c>
      <c r="D210" s="57" t="s">
        <v>906</v>
      </c>
      <c r="E210" s="57" t="s">
        <v>909</v>
      </c>
      <c r="F210" s="57" t="s">
        <v>907</v>
      </c>
      <c r="G210" s="57" t="s">
        <v>909</v>
      </c>
      <c r="H210" s="57" t="s">
        <v>908</v>
      </c>
      <c r="I210" s="57" t="s">
        <v>911</v>
      </c>
      <c r="J210" s="57" t="s">
        <v>910</v>
      </c>
      <c r="K210" s="93" t="s">
        <v>26</v>
      </c>
      <c r="L210" s="93" t="s">
        <v>405</v>
      </c>
      <c r="M210" s="76" t="s">
        <v>92</v>
      </c>
      <c r="N210" s="75">
        <v>1</v>
      </c>
      <c r="O210" s="75">
        <v>194722.32</v>
      </c>
      <c r="P210" s="75">
        <f t="shared" si="54"/>
        <v>194722.32</v>
      </c>
      <c r="Q210" s="59" t="s">
        <v>853</v>
      </c>
      <c r="R210" s="56" t="s">
        <v>896</v>
      </c>
      <c r="S210" s="56" t="s">
        <v>897</v>
      </c>
      <c r="T210" s="76" t="s">
        <v>451</v>
      </c>
      <c r="U210" s="76" t="s">
        <v>452</v>
      </c>
      <c r="V210" s="76" t="s">
        <v>453</v>
      </c>
      <c r="W210" s="76">
        <v>0</v>
      </c>
      <c r="X210" s="76"/>
    </row>
    <row r="211" spans="1:24" s="31" customFormat="1" ht="79.5" customHeight="1">
      <c r="A211" s="55">
        <v>244</v>
      </c>
      <c r="B211" s="76" t="s">
        <v>21</v>
      </c>
      <c r="C211" s="76" t="s">
        <v>61</v>
      </c>
      <c r="D211" s="57" t="s">
        <v>906</v>
      </c>
      <c r="E211" s="57" t="s">
        <v>909</v>
      </c>
      <c r="F211" s="57" t="s">
        <v>907</v>
      </c>
      <c r="G211" s="57" t="s">
        <v>909</v>
      </c>
      <c r="H211" s="57" t="s">
        <v>908</v>
      </c>
      <c r="I211" s="57" t="s">
        <v>911</v>
      </c>
      <c r="J211" s="57" t="s">
        <v>910</v>
      </c>
      <c r="K211" s="93" t="s">
        <v>26</v>
      </c>
      <c r="L211" s="93" t="s">
        <v>405</v>
      </c>
      <c r="M211" s="76" t="s">
        <v>92</v>
      </c>
      <c r="N211" s="75">
        <v>1</v>
      </c>
      <c r="O211" s="75">
        <v>102587.38</v>
      </c>
      <c r="P211" s="75">
        <f t="shared" ref="P211" si="55">O211*N211</f>
        <v>102587.38</v>
      </c>
      <c r="Q211" s="59" t="s">
        <v>853</v>
      </c>
      <c r="R211" s="93" t="s">
        <v>896</v>
      </c>
      <c r="S211" s="93" t="s">
        <v>897</v>
      </c>
      <c r="T211" s="76">
        <v>116630100</v>
      </c>
      <c r="U211" s="76" t="s">
        <v>912</v>
      </c>
      <c r="V211" s="76" t="s">
        <v>913</v>
      </c>
      <c r="W211" s="76">
        <v>0</v>
      </c>
      <c r="X211" s="76"/>
    </row>
    <row r="212" spans="1:24" s="31" customFormat="1" ht="33" customHeight="1">
      <c r="A212" s="33" t="s">
        <v>49</v>
      </c>
      <c r="B212" s="33"/>
      <c r="C212" s="33"/>
      <c r="D212" s="30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4">
        <f>SUM(P14:P211)</f>
        <v>725230373.99571419</v>
      </c>
      <c r="Q212" s="29"/>
      <c r="R212" s="35"/>
      <c r="S212" s="28"/>
      <c r="T212" s="76"/>
      <c r="U212" s="26"/>
      <c r="V212" s="76"/>
      <c r="W212" s="28"/>
      <c r="X212" s="36"/>
    </row>
    <row r="213" spans="1:24" s="31" customFormat="1" ht="18" customHeight="1" thickBot="1">
      <c r="A213" s="13"/>
      <c r="B213" s="37"/>
      <c r="C213" s="13"/>
      <c r="D213" s="38"/>
      <c r="E213" s="32"/>
      <c r="F213" s="32"/>
      <c r="G213" s="32"/>
      <c r="H213" s="32"/>
      <c r="I213" s="39"/>
      <c r="J213" s="37"/>
      <c r="K213" s="13"/>
      <c r="L213" s="39"/>
      <c r="M213" s="37"/>
      <c r="N213" s="16"/>
      <c r="O213" s="16"/>
      <c r="P213" s="16"/>
      <c r="Q213" s="16"/>
      <c r="R213" s="40"/>
      <c r="S213" s="13"/>
      <c r="T213" s="37"/>
      <c r="U213" s="37"/>
      <c r="V213" s="37"/>
      <c r="W213" s="13"/>
      <c r="X213" s="37"/>
    </row>
    <row r="214" spans="1:24" s="31" customFormat="1" ht="92.25" customHeight="1" thickTop="1" thickBot="1">
      <c r="A214" s="27"/>
      <c r="B214" s="31" t="s">
        <v>233</v>
      </c>
      <c r="D214" s="42"/>
      <c r="J214" s="43"/>
      <c r="N214" s="44"/>
      <c r="O214" s="44"/>
      <c r="P214" s="53"/>
      <c r="R214" s="51"/>
      <c r="S214" s="45"/>
    </row>
    <row r="215" spans="1:24" s="31" customFormat="1" ht="16.5" thickTop="1">
      <c r="A215" s="27"/>
      <c r="D215" s="42"/>
      <c r="N215" s="44"/>
      <c r="O215" s="44"/>
      <c r="P215" s="44"/>
      <c r="R215" s="45"/>
      <c r="S215" s="45"/>
    </row>
    <row r="216" spans="1:24" s="31" customFormat="1" ht="18" customHeight="1">
      <c r="B216" s="31" t="s">
        <v>399</v>
      </c>
      <c r="D216" s="46"/>
      <c r="E216" s="47"/>
      <c r="F216" s="47"/>
      <c r="G216" s="47"/>
      <c r="H216" s="31" t="s">
        <v>399</v>
      </c>
      <c r="L216" s="47"/>
      <c r="M216" s="47"/>
      <c r="N216" s="44"/>
      <c r="O216" s="44"/>
      <c r="P216" s="44"/>
      <c r="R216" s="45"/>
      <c r="S216" s="45"/>
    </row>
    <row r="217" spans="1:24" s="31" customFormat="1">
      <c r="B217" s="46" t="s">
        <v>234</v>
      </c>
      <c r="D217" s="46"/>
      <c r="E217" s="47"/>
      <c r="F217" s="47"/>
      <c r="G217" s="47"/>
      <c r="H217" s="46" t="s">
        <v>422</v>
      </c>
      <c r="N217" s="44"/>
      <c r="O217" s="44"/>
      <c r="P217" s="44"/>
      <c r="R217" s="45"/>
      <c r="S217" s="45"/>
    </row>
    <row r="218" spans="1:24" s="31" customFormat="1" ht="42" customHeight="1">
      <c r="B218" s="31" t="s">
        <v>385</v>
      </c>
      <c r="D218" s="46"/>
      <c r="E218" s="47"/>
      <c r="F218" s="47"/>
      <c r="G218" s="47"/>
      <c r="H218" s="80" t="s">
        <v>400</v>
      </c>
      <c r="I218" s="31" t="s">
        <v>401</v>
      </c>
      <c r="N218" s="44"/>
      <c r="O218" s="44"/>
      <c r="P218" s="44"/>
      <c r="R218" s="51"/>
      <c r="S218" s="45"/>
    </row>
    <row r="219" spans="1:24" s="31" customFormat="1" ht="15" customHeight="1">
      <c r="E219" s="47"/>
      <c r="F219" s="47"/>
      <c r="G219" s="47"/>
      <c r="N219" s="41"/>
      <c r="O219" s="44"/>
      <c r="P219" s="44"/>
      <c r="R219" s="45"/>
      <c r="S219" s="45"/>
    </row>
    <row r="220" spans="1:24" s="31" customFormat="1" ht="36" customHeight="1">
      <c r="B220" s="31" t="s">
        <v>383</v>
      </c>
      <c r="E220" s="47"/>
      <c r="F220" s="47"/>
      <c r="G220" s="47"/>
      <c r="H220" s="529" t="s">
        <v>739</v>
      </c>
      <c r="I220" s="517"/>
      <c r="J220" s="122" t="s">
        <v>740</v>
      </c>
      <c r="K220" s="120"/>
      <c r="N220" s="44"/>
      <c r="O220" s="44"/>
      <c r="P220" s="44"/>
      <c r="R220" s="45"/>
      <c r="S220" s="45"/>
    </row>
    <row r="221" spans="1:24" s="31" customFormat="1" ht="15" customHeight="1">
      <c r="E221" s="47"/>
      <c r="F221" s="47"/>
      <c r="G221" s="47"/>
      <c r="N221" s="44"/>
      <c r="O221" s="44"/>
      <c r="P221" s="44"/>
      <c r="R221" s="45"/>
      <c r="S221" s="45"/>
    </row>
    <row r="222" spans="1:24" s="31" customFormat="1" ht="6.75" customHeight="1">
      <c r="E222" s="47"/>
      <c r="F222" s="47"/>
      <c r="G222" s="47"/>
      <c r="N222" s="44"/>
      <c r="O222" s="44"/>
      <c r="P222" s="44"/>
      <c r="R222" s="45"/>
      <c r="S222" s="45"/>
    </row>
    <row r="223" spans="1:24" s="31" customFormat="1" ht="35.25" customHeight="1">
      <c r="B223" s="526" t="s">
        <v>380</v>
      </c>
      <c r="C223" s="526"/>
      <c r="D223" s="526"/>
      <c r="E223" s="527" t="s">
        <v>226</v>
      </c>
      <c r="F223" s="527"/>
      <c r="G223" s="47"/>
      <c r="H223" s="529" t="s">
        <v>384</v>
      </c>
      <c r="I223" s="517"/>
      <c r="J223" s="31" t="s">
        <v>736</v>
      </c>
      <c r="K223" s="47"/>
      <c r="N223" s="44"/>
      <c r="O223" s="44"/>
      <c r="P223" s="44"/>
      <c r="R223" s="45"/>
      <c r="S223" s="45"/>
    </row>
    <row r="224" spans="1:24" s="31" customFormat="1" ht="15" customHeight="1">
      <c r="E224" s="47"/>
      <c r="F224" s="47"/>
      <c r="G224" s="47"/>
      <c r="H224" s="49"/>
      <c r="I224" s="49"/>
      <c r="K224" s="47"/>
      <c r="N224" s="44"/>
      <c r="O224" s="44"/>
      <c r="P224" s="44"/>
      <c r="R224" s="50"/>
      <c r="S224" s="45"/>
    </row>
    <row r="225" spans="1:24" s="31" customFormat="1" ht="33" customHeight="1">
      <c r="B225" s="525" t="s">
        <v>421</v>
      </c>
      <c r="C225" s="517"/>
      <c r="D225" s="517"/>
      <c r="E225" s="517"/>
      <c r="F225" s="73" t="s">
        <v>381</v>
      </c>
      <c r="G225" s="47"/>
      <c r="H225" s="48" t="s">
        <v>387</v>
      </c>
      <c r="I225" s="48"/>
      <c r="J225" s="31" t="s">
        <v>388</v>
      </c>
      <c r="K225" s="47"/>
      <c r="N225" s="44"/>
      <c r="O225" s="44"/>
      <c r="P225" s="44"/>
      <c r="R225" s="45"/>
      <c r="S225" s="51"/>
    </row>
    <row r="226" spans="1:24" s="31" customFormat="1">
      <c r="E226" s="47"/>
      <c r="F226" s="47"/>
      <c r="G226" s="47"/>
      <c r="H226" s="48"/>
      <c r="I226" s="48"/>
      <c r="K226" s="47"/>
      <c r="N226" s="44"/>
      <c r="O226" s="44"/>
      <c r="P226" s="44"/>
      <c r="R226" s="45"/>
      <c r="S226" s="45"/>
    </row>
    <row r="227" spans="1:24" ht="33" customHeight="1">
      <c r="A227" s="23"/>
      <c r="B227" s="3" t="s">
        <v>737</v>
      </c>
      <c r="C227" s="74"/>
      <c r="D227" s="74"/>
      <c r="E227" s="74"/>
      <c r="F227" s="31" t="s">
        <v>738</v>
      </c>
      <c r="G227" s="23"/>
      <c r="H227" s="48" t="s">
        <v>386</v>
      </c>
      <c r="I227" s="48"/>
      <c r="J227" s="31" t="s">
        <v>225</v>
      </c>
      <c r="K227" s="47"/>
      <c r="L227" s="9"/>
      <c r="M227" s="9"/>
      <c r="N227" s="41"/>
      <c r="O227" s="41"/>
      <c r="P227" s="41"/>
      <c r="Q227" s="9"/>
      <c r="R227" s="40"/>
      <c r="S227" s="40"/>
      <c r="T227" s="9"/>
      <c r="U227" s="9"/>
      <c r="V227" s="9"/>
      <c r="W227" s="23"/>
      <c r="X227" s="23"/>
    </row>
    <row r="228" spans="1:24">
      <c r="D228" s="52"/>
      <c r="I228" s="31"/>
      <c r="J228" s="31"/>
      <c r="K228" s="31"/>
      <c r="L228" s="31"/>
      <c r="M228" s="31"/>
      <c r="O228" s="44"/>
      <c r="P228" s="44"/>
      <c r="Q228" s="31"/>
      <c r="R228" s="45"/>
      <c r="S228" s="45"/>
      <c r="T228" s="31"/>
      <c r="U228" s="31"/>
      <c r="V228" s="31"/>
    </row>
    <row r="229" spans="1:24" ht="36" customHeight="1">
      <c r="B229" s="524" t="s">
        <v>420</v>
      </c>
      <c r="C229" s="517"/>
      <c r="D229" s="517"/>
      <c r="E229" s="517"/>
      <c r="F229" s="23" t="s">
        <v>382</v>
      </c>
      <c r="H229" s="48"/>
      <c r="I229" s="31"/>
      <c r="J229" s="31"/>
      <c r="K229" s="31"/>
      <c r="L229" s="31"/>
      <c r="M229" s="31"/>
      <c r="O229" s="44"/>
      <c r="P229" s="44"/>
      <c r="Q229" s="31"/>
      <c r="R229" s="45"/>
      <c r="S229" s="45"/>
      <c r="T229" s="31"/>
      <c r="U229" s="31"/>
      <c r="V229" s="31"/>
    </row>
    <row r="230" spans="1:24">
      <c r="I230" s="31"/>
      <c r="J230" s="31"/>
      <c r="K230" s="31"/>
      <c r="L230" s="31"/>
      <c r="M230" s="31"/>
      <c r="O230" s="44"/>
      <c r="P230" s="44"/>
      <c r="Q230" s="31"/>
      <c r="R230" s="45"/>
      <c r="S230" s="45"/>
      <c r="T230" s="31"/>
      <c r="U230" s="31"/>
      <c r="V230" s="31"/>
    </row>
    <row r="231" spans="1:24">
      <c r="O231" s="44"/>
      <c r="P231" s="44"/>
      <c r="Q231" s="31"/>
      <c r="R231" s="45"/>
      <c r="S231" s="45"/>
      <c r="T231" s="31"/>
      <c r="U231" s="31"/>
      <c r="V231" s="31"/>
    </row>
    <row r="232" spans="1:24">
      <c r="O232" s="44"/>
      <c r="P232" s="44"/>
      <c r="Q232" s="31"/>
      <c r="R232" s="45"/>
      <c r="S232" s="45"/>
      <c r="T232" s="31"/>
      <c r="U232" s="31"/>
      <c r="V232" s="31"/>
    </row>
    <row r="233" spans="1:24">
      <c r="O233" s="44"/>
      <c r="P233" s="44"/>
      <c r="Q233" s="31"/>
      <c r="R233" s="45"/>
      <c r="S233" s="45"/>
      <c r="T233" s="31"/>
      <c r="U233" s="31"/>
      <c r="V233" s="31"/>
    </row>
    <row r="234" spans="1:24">
      <c r="O234" s="44"/>
      <c r="P234" s="41"/>
      <c r="Q234" s="31"/>
      <c r="R234" s="45"/>
      <c r="S234" s="45"/>
      <c r="T234" s="31"/>
      <c r="U234" s="31"/>
      <c r="V234" s="31"/>
    </row>
    <row r="235" spans="1:24">
      <c r="O235" s="44"/>
      <c r="P235" s="44"/>
      <c r="Q235" s="31"/>
      <c r="R235" s="50"/>
      <c r="S235" s="45"/>
      <c r="T235" s="31"/>
      <c r="U235" s="31"/>
      <c r="V235" s="31"/>
    </row>
    <row r="236" spans="1:24">
      <c r="O236" s="44"/>
      <c r="P236" s="44"/>
      <c r="Q236" s="31"/>
      <c r="R236" s="45"/>
      <c r="S236" s="45"/>
      <c r="T236" s="31"/>
      <c r="U236" s="31"/>
      <c r="V236" s="31"/>
    </row>
    <row r="237" spans="1:24">
      <c r="B237" s="31"/>
      <c r="C237" s="31"/>
      <c r="D237" s="13"/>
      <c r="E237" s="31"/>
      <c r="F237" s="31"/>
      <c r="G237" s="31"/>
      <c r="H237" s="31"/>
      <c r="I237" s="31"/>
      <c r="J237" s="31"/>
      <c r="K237" s="31"/>
      <c r="L237" s="31"/>
      <c r="M237" s="31"/>
      <c r="N237" s="44"/>
      <c r="O237" s="44"/>
      <c r="P237" s="44"/>
      <c r="Q237" s="31"/>
      <c r="R237" s="45"/>
      <c r="S237" s="45"/>
      <c r="T237" s="31"/>
      <c r="U237" s="31"/>
      <c r="V237" s="31"/>
      <c r="W237" s="31"/>
      <c r="X237" s="31"/>
    </row>
    <row r="238" spans="1:24">
      <c r="B238" s="31"/>
      <c r="C238" s="31"/>
      <c r="D238" s="46"/>
      <c r="E238" s="31"/>
      <c r="F238" s="31"/>
      <c r="G238" s="31"/>
      <c r="H238" s="31"/>
      <c r="I238" s="31"/>
      <c r="J238" s="31"/>
      <c r="K238" s="31"/>
      <c r="L238" s="31"/>
      <c r="M238" s="31"/>
      <c r="N238" s="44"/>
      <c r="O238" s="44"/>
      <c r="P238" s="44"/>
      <c r="Q238" s="31"/>
      <c r="R238" s="45"/>
      <c r="S238" s="45"/>
      <c r="T238" s="31"/>
      <c r="U238" s="31"/>
      <c r="V238" s="31"/>
      <c r="W238" s="31"/>
      <c r="X238" s="31"/>
    </row>
  </sheetData>
  <autoFilter ref="A13:CR212"/>
  <mergeCells count="44">
    <mergeCell ref="B229:E229"/>
    <mergeCell ref="B225:E225"/>
    <mergeCell ref="B223:D223"/>
    <mergeCell ref="E223:F223"/>
    <mergeCell ref="M11:M12"/>
    <mergeCell ref="L11:L12"/>
    <mergeCell ref="H223:I223"/>
    <mergeCell ref="H220:I220"/>
    <mergeCell ref="J11:J12"/>
    <mergeCell ref="I11:I12"/>
    <mergeCell ref="D11:D12"/>
    <mergeCell ref="H11:H12"/>
    <mergeCell ref="C11:C12"/>
    <mergeCell ref="G11:G12"/>
    <mergeCell ref="E11:E12"/>
    <mergeCell ref="F11:F12"/>
    <mergeCell ref="S1:X1"/>
    <mergeCell ref="H3:K3"/>
    <mergeCell ref="X11:X12"/>
    <mergeCell ref="V11:V12"/>
    <mergeCell ref="T11:T12"/>
    <mergeCell ref="U11:U12"/>
    <mergeCell ref="P11:P12"/>
    <mergeCell ref="O11:O12"/>
    <mergeCell ref="N11:N12"/>
    <mergeCell ref="K11:K12"/>
    <mergeCell ref="W11:W12"/>
    <mergeCell ref="Q11:Q12"/>
    <mergeCell ref="S11:S12"/>
    <mergeCell ref="R11:R12"/>
    <mergeCell ref="S2:X2"/>
    <mergeCell ref="E6:E7"/>
    <mergeCell ref="A10:E10"/>
    <mergeCell ref="A6:B7"/>
    <mergeCell ref="A8:B8"/>
    <mergeCell ref="C9:D9"/>
    <mergeCell ref="A9:B9"/>
    <mergeCell ref="F6:F7"/>
    <mergeCell ref="C6:D7"/>
    <mergeCell ref="C8:D8"/>
    <mergeCell ref="A5:F5"/>
    <mergeCell ref="A4:S4"/>
    <mergeCell ref="A11:A12"/>
    <mergeCell ref="B11:B12"/>
  </mergeCells>
  <dataValidations xWindow="1567" yWindow="599" count="3">
    <dataValidation type="list" allowBlank="1" showInputMessage="1" showErrorMessage="1" prompt="Выберите обоснование применения государственных закупок" sqref="L64 L53 L56 L58:L60 L62 L66 L121:L122 L105:L115 L68 L70:L71 L126:L132 L136:L138 L145:L153 L85:L101 L193:L194 L196:L198 L201 L14:L43 L73:L83 L117:L118 L143 L155:L191">
      <formula1>Обоснование</formula1>
    </dataValidation>
    <dataValidation allowBlank="1" showInputMessage="1" showErrorMessage="1" prompt="Наименование на русском языке заполняется автоматически в соответствии с КТРУ" sqref="E96:F97"/>
    <dataValidation type="list" allowBlank="1" showInputMessage="1" showErrorMessage="1" prompt="При необходимости укажите признак проводимой закупки" sqref="X52 X63 X67">
      <formula1>Признак</formula1>
    </dataValidation>
  </dataValidations>
  <hyperlinks>
    <hyperlink ref="D14" r:id="rId1" display="https://enstru.kz/code_new.jsp?&amp;s=common&amp;p=10&amp;n=0&amp;fc=1&amp;fg=0&amp;new=749020.000.000060"/>
    <hyperlink ref="D15" r:id="rId2" display="https://enstru.kz/code_new.jsp?&amp;t=%D0%A3%D1%81%D0%BB%D1%83%D0%B3%D0%B8%20%D0%BF%D0%BE%20%D0%B3%D1%80%D1%83%D0%B7%D0%BE%D0%BE%D0%B1%D1%81%D0%BB%D1%83%D0%B6%D0%B8%D0%B2%D0%B0%D0%BD%D0%B8%D1%8E%20%D0%B2%20%D0%BE%D0%B1%D0%BB%D0%B0%D1%81%D1%82%D0%B8%20%D0%B2%D0%BE%D0%B7%D0%B4%D1%83%D1%88%D0%BD%D0%BE%D0%B3%D0%BE%20%D1%82%D1%80%D0%B0%D0%BD%D1%81%D0%BF%D0%BE%D1%80%D1%82&amp;s=common&amp;p=10&amp;n=0&amp;S=522319%2E000&amp;N=%D0%A3%D1%81%D0%BB%D1%83%D0%B3%D0%B8%20%D0%BF%D0%BE%20%D0%B3%D1%80%D1%83%D0%B7%D0%BE%D0%BE%D0%B1%D1%81%D0%BB%D1%83%D0%B6%D0%B8%D0%B2%D0%B0%D0%BD%D0%B8%D1%8E%20%D0%B2%20%D0%BE%D0%B1%D0%BB%D0%B0%D1%81%D1%82%D0%B8%20%D0%B2%D0%BE%D0%B7%D0%B4%D1%83%D1%88%D0%BD%D0%BE%D0%B3%D0%BE%20%D1%82%D1%80%D0%B0%D0%BD%D1%81%D0%BF%D0%BE%D1%80%D1%82%D0%B0&amp;fc=1&amp;fg=0&amp;new=522319.000.000001"/>
    <hyperlink ref="D17" r:id="rId3" display="https://enstru.kz/code_new.jsp?&amp;s=common&amp;p=10&amp;n=0&amp;fc=1&amp;fg=0&amp;new=682012.960.000000"/>
    <hyperlink ref="D19" r:id="rId4" display="https://enstru.kz/code_new.jsp?&amp;s=common&amp;p=10&amp;n=0&amp;fc=1&amp;fg=0&amp;new=682012.960.000000"/>
    <hyperlink ref="D21" r:id="rId5" display="https://enstru.kz/code_new.jsp?&amp;s=common&amp;p=10&amp;n=0&amp;fc=1&amp;fg=0&amp;new=682012.960.000000"/>
    <hyperlink ref="D24" r:id="rId6" display="https://enstru.kz/code_new.jsp?&amp;s=common&amp;p=10&amp;n=0&amp;fc=1&amp;fg=0&amp;new=682012.960.000000"/>
    <hyperlink ref="D28" r:id="rId7" display="https://enstru.kz/code_new.jsp?&amp;s=common&amp;p=10&amp;n=0&amp;fc=1&amp;fg=0&amp;new=682012.960.000000"/>
    <hyperlink ref="D29" r:id="rId8" display="https://enstru.kz/code_new.jsp?&amp;s=common&amp;p=10&amp;n=0&amp;fc=1&amp;fg=0&amp;new=682012.960.000000"/>
    <hyperlink ref="D31" r:id="rId9" display="https://enstru.kz/code_new.jsp?&amp;s=common&amp;p=10&amp;n=0&amp;fc=1&amp;fg=0&amp;new=682012.960.000000"/>
    <hyperlink ref="D34" r:id="rId10" display="https://enstru.kz/code_new.jsp?&amp;s=common&amp;p=10&amp;n=0&amp;fc=1&amp;fg=0&amp;new=682012.960.000000"/>
    <hyperlink ref="D36" r:id="rId11" display="https://enstru.kz/code_new.jsp?&amp;s=common&amp;p=10&amp;n=0&amp;fc=1&amp;fg=0&amp;new=682012.960.000000"/>
    <hyperlink ref="D37" r:id="rId12" display="https://enstru.kz/code_new.jsp?&amp;s=common&amp;p=10&amp;n=0&amp;fc=1&amp;fg=0&amp;new=682012.960.000000"/>
    <hyperlink ref="D38" r:id="rId13" display="https://enstru.kz/code_new.jsp?&amp;s=common&amp;p=10&amp;n=0&amp;fc=1&amp;fg=0&amp;new=682012.960.000000"/>
    <hyperlink ref="D40" r:id="rId14" display="https://enstru.kz/code_new.jsp?&amp;s=common&amp;p=10&amp;n=0&amp;fc=1&amp;fg=0&amp;new=682012.960.000000"/>
    <hyperlink ref="D61" r:id="rId15" display="https://enstru.kz/code_new.jsp?&amp;t=%D1%81%D0%BA%D0%BE%D1%82%D1%87&amp;s=common&amp;p=10&amp;n=2&amp;S=32%2E99%2E59%2E900&amp;N=%D0%A1%D0%BA%D0%BE%D1%82%D1%87&amp;fc=1&amp;fg=1&amp;new=329959.900.000082"/>
    <hyperlink ref="D63" r:id="rId16" display="https://enstru.kz/code_new.jsp?&amp;s=common&amp;p=10&amp;n=0&amp;fc=1&amp;fg=0&amp;new=110711.310.000000"/>
    <hyperlink ref="D67" r:id="rId17" display="https://enstru.kz/code_new.jsp?&amp;t=%D0%BA%D0%BB%D0%B0%D0%B2%D0%B8%D0%B0%D1%82%D1%83%D1%80%D0%B0&amp;s=common&amp;p=10&amp;n=0&amp;S=26%2E20%2E15%2E000,26%2E30%2E30%2E900&amp;N=%D0%9A%D0%BB%D0%B0%D0%B2%D0%B8%D0%B0%D1%82%D1%83%D1%80%D0%B0&amp;fc=1&amp;fg=1&amp;new=262015.000.000012"/>
    <hyperlink ref="D68" r:id="rId18" display="https://enstru.kz/code_new.jsp?&amp;t=%D0%BC%D1%8B%D1%88%D1%8C&amp;s=common&amp;p=10&amp;n=0&amp;S=26%2E20%2E16%2E930&amp;N=%D0%9C%D0%B0%D0%BD%D0%B8%D0%BF%D1%83%D0%BB%D1%8F%D1%82%D0%BE%D1%80%20%22%D0%BC%D1%8B%D1%88%D1%8C%22&amp;fc=1&amp;fg=1&amp;new=262016.930.000001"/>
    <hyperlink ref="D93" r:id="rId19" display="https://enstru.kz/code_new.jsp?&amp;s=common&amp;p=10&amp;n=0&amp;fc=1&amp;fg=0&amp;new=532011.110.000000"/>
    <hyperlink ref="D92" r:id="rId20" display="https://enstru.kz/code_new.jsp?&amp;s=common&amp;p=10&amp;n=0&amp;fc=1&amp;fg=0&amp;new=532011.110.000000"/>
    <hyperlink ref="D91" r:id="rId21" display="https://enstru.kz/code_new.jsp?&amp;s=common&amp;p=10&amp;n=0&amp;fc=1&amp;fg=0&amp;new=493212.000.000000"/>
    <hyperlink ref="D90" r:id="rId22" display="https://enstru.kz/code_new.jsp?&amp;s=common&amp;p=10&amp;n=0&amp;fc=1&amp;fg=0&amp;new=493212.000.000000"/>
    <hyperlink ref="D95" r:id="rId23" display="https://enstru.kz/code_new.jsp?&amp;s=common&amp;p=10&amp;n=0&amp;fc=1&amp;fg=0&amp;new=611011.200.000000"/>
    <hyperlink ref="D94" r:id="rId24" display="https://enstru.kz/code_new.jsp?&amp;s=common&amp;p=10&amp;n=0&amp;fc=1&amp;fg=0&amp;new=611011.200.000000"/>
    <hyperlink ref="D97" r:id="rId25" display="https://enstru.kz/code_new.jsp?&amp;s=common&amp;p=10&amp;n=0&amp;fc=1&amp;fg=0&amp;new=612042.100.000000"/>
    <hyperlink ref="D96" r:id="rId26" display="https://enstru.kz/code_new.jsp?&amp;s=common&amp;p=10&amp;n=0&amp;fc=1&amp;fg=0&amp;new=612042.100.000000"/>
    <hyperlink ref="D99" r:id="rId27" display="https://enstru.kz/code_new.jsp?&amp;s=common&amp;p=10&amp;n=0&amp;fc=1&amp;fg=0&amp;new=619010.451.000000"/>
    <hyperlink ref="D98" r:id="rId28" display="https://enstru.kz/code_new.jsp?&amp;s=common&amp;p=10&amp;n=0&amp;fc=1&amp;fg=0&amp;new=619010.451.000000"/>
    <hyperlink ref="D101" r:id="rId29" display="https://enstru.kz/code_new.jsp?&amp;t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s=common&amp;p=10&amp;n=0&amp;S=77%2E39%2E14%2E000&amp;N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fc=1&amp;fg=0&amp;new=773914.000.000000"/>
    <hyperlink ref="D100" r:id="rId30" display="https://enstru.kz/code_new.jsp?&amp;t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s=common&amp;p=10&amp;n=0&amp;S=77%2E39%2E14%2E000&amp;N=%D0%A3%D1%81%D0%BB%D1%83%D0%B3%D0%B8%20%D0%BF%D0%BE%20%D0%B0%D1%80%D0%B5%D0%BD%D0%B4%D0%B5%20%D1%82%D0%B5%D0%BB%D0%B5%D0%BA%D0%BE%D0%BC%D0%BC%D1%83%D0%BD%D0%B8%D0%BA%D0%B0%D1%86%D0%B8%D0%BE%D0%BD%D0%BD%D0%BE%D0%B3%D0%BE%20%D0%BE%D0%B1%D0%BE%D1%80%D1%83%D0%B4%D0%BE%D0%B2%D0%B0%D0%BD%D0%B8%D1%8F&amp;fc=1&amp;fg=0&amp;new=773914.000.000000"/>
    <hyperlink ref="D103" r:id="rId31" display="https://enstru.kz/code_new.jsp?&amp;s=common&amp;p=10&amp;n=0&amp;fc=1&amp;fg=0&amp;new=822010.000.000000"/>
    <hyperlink ref="D102" r:id="rId32" display="https://enstru.kz/code_new.jsp?&amp;s=common&amp;p=10&amp;n=0&amp;fc=1&amp;fg=0&amp;new=822010.000.000000"/>
    <hyperlink ref="D106" r:id="rId33" display="https://enstru.kz/code_new.jsp?&amp;s=common&amp;p=10&amp;n=0&amp;fc=1&amp;fg=0&amp;new=110711.310.000000"/>
    <hyperlink ref="D114" r:id="rId34" display="https://enstru.kz/code_new.jsp?&amp;s=common&amp;p=10&amp;n=0&amp;fc=1&amp;fg=0&amp;new=110711.310.000000"/>
    <hyperlink ref="D118" r:id="rId35" display="https://enstru.kz/code_new.jsp?&amp;s=common&amp;p=10&amp;n=0&amp;fc=1&amp;fg=0&amp;new=582950.000.000000"/>
    <hyperlink ref="D121" r:id="rId36" display="https://enstru.kz/code_new.jsp?&amp;s=common&amp;p=10&amp;n=0&amp;fc=1&amp;fg=0&amp;new=582950.000.000000"/>
    <hyperlink ref="D122" r:id="rId37" display="https://enstru.kz/code_new.jsp?&amp;s=common&amp;p=10&amp;n=0&amp;fc=1&amp;fg=0&amp;new=582950.000.000000"/>
    <hyperlink ref="D123" r:id="rId38" display="https://enstru.kz/code_new.jsp?&amp;s=common&amp;p=10&amp;n=0&amp;fc=1&amp;fg=0&amp;new=582950.000.000000"/>
    <hyperlink ref="D124" r:id="rId39" display="https://enstru.kz/code_new.jsp?&amp;s=common&amp;p=10&amp;n=0&amp;fc=1&amp;fg=0&amp;new=582950.000.000000"/>
    <hyperlink ref="D125" r:id="rId40" display="https://enstru.kz/code_new.jsp?&amp;s=common&amp;p=10&amp;n=0&amp;fc=1&amp;fg=0&amp;new=620920.000.000001"/>
    <hyperlink ref="D127" r:id="rId41" display="https://enstru.kz/code_new.jsp?&amp;s=common&amp;p=10&amp;n=0&amp;fc=1&amp;fg=0&amp;new=582950.000.000000"/>
    <hyperlink ref="D128" r:id="rId42" display="https://enstru.kz/code_new.jsp?&amp;s=common&amp;p=10&amp;n=0&amp;fc=1&amp;fg=0&amp;new=582950.000.000000"/>
    <hyperlink ref="D129" r:id="rId43" display="https://enstru.kz/code_new.jsp?&amp;s=common&amp;p=10&amp;n=0&amp;fc=1&amp;fg=0&amp;new=582950.000.000000"/>
    <hyperlink ref="D135" r:id="rId44" display="https://enstru.kz/code_new.jsp?&amp;s=common&amp;p=10&amp;n=0&amp;fc=1&amp;fg=0&amp;new=582950.000.000000"/>
    <hyperlink ref="D137" r:id="rId45" display="https://enstru.kz/code_new.jsp?&amp;s=common&amp;p=10&amp;n=0&amp;fc=1&amp;fg=0&amp;new=639910.000.000001"/>
    <hyperlink ref="D140" r:id="rId46" display="https://enstru.kz/code_new.jsp?&amp;t=%D0%B0%D1%83%D1%82%D1%81%D0%BE%D1%80%D1%81%D0%B8%D0%BD%D0%B3&amp;s=common&amp;p=10&amp;n=0&amp;S=78%2E10%2E11%2E000&amp;N=%D0%A3%D1%81%D0%BB%D1%83%D0%B3%D0%B8%20%D0%BF%D0%BE%20%D0%B0%D1%83%D1%82%D1%81%D0%BE%D1%80%D1%81%D0%B8%D0%BD%D0%B3%D1%83%20%D0%BF%D0%B5%D1%80%D1%81%D0%BE%D0%BD%D0%B0%D0%BB%D0%B0&amp;fc=1&amp;fg=0&amp;new=781011.000.000003"/>
    <hyperlink ref="D143" r:id="rId47" display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/>
    <hyperlink ref="D149" r:id="rId48" display="https://enstru.kz/code_new.jsp?&amp;s=common&amp;p=10&amp;n=0&amp;fc=1&amp;fg=0&amp;new=841112.900.000009"/>
    <hyperlink ref="D150" r:id="rId49" display="https://enstru.kz/code_new.jsp?&amp;s=common&amp;p=10&amp;n=0&amp;fc=1&amp;fg=0&amp;new=841112.900.000009"/>
    <hyperlink ref="D151" r:id="rId50" display="https://enstru.kz/code_new.jsp?&amp;s=common&amp;p=10&amp;n=0&amp;fc=1&amp;fg=0&amp;new=841112.900.000009"/>
    <hyperlink ref="D152" r:id="rId51" display="https://enstru.kz/code_new.jsp?&amp;s=common&amp;p=10&amp;n=0&amp;fc=1&amp;fg=0&amp;new=841112.900.000009"/>
    <hyperlink ref="D153" r:id="rId52" display="https://enstru.kz/code_new.jsp?&amp;s=common&amp;p=10&amp;n=0&amp;fc=1&amp;fg=0&amp;new=841112.900.000009"/>
    <hyperlink ref="D176" r:id="rId53" display="https://enstru.kz/code_new.jsp?&amp;s=common&amp;p=10&amp;n=0&amp;fc=1&amp;fg=0&amp;new=682011.900.000001"/>
    <hyperlink ref="D177" r:id="rId54" display="https://enstru.kz/code_new.jsp?&amp;s=common&amp;p=10&amp;n=0&amp;fc=1&amp;fg=0&amp;new=682011.900.000001"/>
    <hyperlink ref="D178" r:id="rId55" display="https://enstru.kz/code_new.jsp?&amp;s=common&amp;p=10&amp;n=0&amp;fc=1&amp;fg=0&amp;new=682011.900.000001"/>
    <hyperlink ref="D23" r:id="rId56" display="https://enstru.kz/code_new.jsp?&amp;s=common&amp;p=10&amp;n=0&amp;fc=1&amp;fg=0&amp;new=682012.960.000000"/>
    <hyperlink ref="D26" r:id="rId57" display="https://enstru.kz/code_new.jsp?&amp;s=common&amp;p=10&amp;n=0&amp;fc=1&amp;fg=0&amp;new=682012.960.000000"/>
    <hyperlink ref="D27" r:id="rId58" display="https://enstru.kz/code_new.jsp?&amp;s=common&amp;p=10&amp;n=0&amp;fc=1&amp;fg=0&amp;new=682012.960.000000"/>
    <hyperlink ref="D33" r:id="rId59" display="https://enstru.kz/code_new.jsp?&amp;s=common&amp;p=10&amp;n=0&amp;fc=1&amp;fg=0&amp;new=682012.960.000000"/>
    <hyperlink ref="D69" r:id="rId60" display="https://enstru.kz/code_new.jsp?&amp;t=%D1%80%D0%B0%D0%BC%D0%BA%D0%B0&amp;s=common&amp;p=10&amp;n=0&amp;S=22%2E29%2E29%2E900&amp;N=%D0%A0%D0%B0%D0%BC%D0%BA%D0%B0&amp;fc=1&amp;fg=1&amp;new=222929.900.000045"/>
    <hyperlink ref="D70" r:id="rId61" display="https://enstru.kz/code_new.jsp?&amp;t=%D0%B1%D0%B0%D1%82%D0%B0%D1%80%D0%B5%D0%B9%D0%BA&amp;s=common&amp;p=10&amp;n=0&amp;S=27%2E20%2E11%2E900&amp;N=%D0%91%D0%B0%D1%82%D0%B0%D1%80%D0%B5%D0%B9%D0%BA%D0%B0&amp;fc=1&amp;fg=1&amp;new=272011.900.000004"/>
    <hyperlink ref="D71" r:id="rId62" display="https://enstru.kz/code_new.jsp?&amp;t=%D0%B1%D0%B0%D1%82%D0%B0%D1%80%D0%B5%D0%B9%D0%BA&amp;s=common&amp;p=10&amp;n=0&amp;S=27%2E20%2E11%2E900&amp;N=%D0%91%D0%B0%D1%82%D0%B0%D1%80%D0%B5%D0%B9%D0%BA%D0%B0&amp;fc=1&amp;fg=1&amp;new=272011.900.000004"/>
    <hyperlink ref="D73" r:id="rId63" display="https://enstru.kz/code_new.jsp?&amp;t=%D0%B1%D0%B0%D1%82%D0%B0%D1%80%D0%B5%D0%B9%D0%BA&amp;s=common&amp;p=10&amp;n=0&amp;S=27%2E20%2E11%2E900&amp;N=%D0%91%D0%B0%D1%82%D0%B0%D1%80%D0%B5%D0%B9%D0%BA%D0%B0&amp;fc=1&amp;fg=1&amp;new=272011.900.000004"/>
    <hyperlink ref="D72" r:id="rId64" display="https://enstru.kz/code_new.jsp?&amp;s=common&amp;p=10&amp;n=0&amp;fc=1&amp;fg=0&amp;new=110711.310.000000"/>
    <hyperlink ref="D76" r:id="rId65" display="https://enstru.kz/code_new.jsp?&amp;t=%D0%B1%D0%B0%D1%82%D0%B0%D1%80%D0%B5%D0%B9%D0%BA&amp;s=common&amp;p=10&amp;n=0&amp;S=27%2E20%2E11%2E900&amp;N=%D0%91%D0%B0%D1%82%D0%B0%D1%80%D0%B5%D0%B9%D0%BA%D0%B0&amp;fc=1&amp;fg=1&amp;new=272011.900.000003"/>
    <hyperlink ref="D77" r:id="rId66" display="https://enstru.kz/code_new.jsp?&amp;t=%D0%B1%D0%B0%D1%82%D0%B0%D1%80%D0%B5%D0%B9%D0%BA&amp;s=common&amp;p=10&amp;n=0&amp;S=27%2E20%2E11%2E900&amp;N=%D0%91%D0%B0%D1%82%D0%B0%D1%80%D0%B5%D0%B9%D0%BA%D0%B0&amp;fc=1&amp;fg=1&amp;new=272011.900.000004"/>
    <hyperlink ref="D131" r:id="rId67" display="https://enstru.kz/code_new.jsp?&amp;t=%D0%BF%D1%80%D0%B5%D0%B4%D0%BE%D1%81%D1%82%D0%B0%D0%B2%D0%BB%D0%B5%D0%BD%D0%B8%D0%B5%20%D0%BB%D0%B8%D1%86%D0%B5%D0%BD%D0%B7%D0%B8%D0%B9&amp;s=common&amp;p=10&amp;n=0&amp;S=582950%2E000&amp;N=%D0%A3%D1%81%D0%BB%D1%83%D0%B3%D0%B8%20%D0%BF%D0%BE%20%D0%BF%D1%80%D0%BE%D0%B4%D0%BB%D0%B5%D0%BD%D0%B8%D1%8E%20%D0%BB%D0%B8%D1%86%D0%B5%D0%BD%D0%B7%D0%B8%D0%B9%20%D0%BD%D0%B0%20%D0%BF%D1%80%D0%B0%D0%B2%D0%BE%20%D0%B8%D1%81%D0%BF%D0%BE%D0%BB%D1%8C%D0%B7%D0%BE%D0%B2%D0%B0%D0%BD%D0%B8%D1%8F%20%D0%BF%D1%80%D0%BE%D0%B3%D1%80%D0%B0%D0%BC%D0%BC%D0%BD%D0%BE%D0%B3%D0%BE%20%D0%BE%D0%B1%D0%B5%D1%81%D0%BF%D0%B5%D1%87%D0%B5%D0%BD%D0%B8%D1%8F&amp;fc=1&amp;fg=0&amp;new=582950.000.000000"/>
    <hyperlink ref="D116" r:id="rId68" display="https://enstru.kz/code_new.jsp?&amp;s=common&amp;p=10&amp;n=0&amp;fc=1&amp;fg=0&amp;new=110711.310.000000"/>
    <hyperlink ref="D86" r:id="rId69" display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/>
    <hyperlink ref="D18" r:id="rId70" display="https://enstru.kz/code_new.jsp?&amp;s=common&amp;p=10&amp;n=0&amp;fc=1&amp;fg=0&amp;new=682012.960.000000"/>
    <hyperlink ref="D20" r:id="rId71" display="https://enstru.kz/code_new.jsp?&amp;s=common&amp;p=10&amp;n=0&amp;fc=1&amp;fg=0&amp;new=682012.960.000000"/>
    <hyperlink ref="D22" r:id="rId72" display="https://enstru.kz/code_new.jsp?&amp;s=common&amp;p=10&amp;n=0&amp;fc=1&amp;fg=0&amp;new=682012.960.000000"/>
    <hyperlink ref="D25" r:id="rId73" display="https://enstru.kz/code_new.jsp?&amp;s=common&amp;p=10&amp;n=0&amp;fc=1&amp;fg=0&amp;new=682012.960.000000"/>
    <hyperlink ref="D30" r:id="rId74" display="https://enstru.kz/code_new.jsp?&amp;s=common&amp;p=10&amp;n=0&amp;fc=1&amp;fg=0&amp;new=682012.960.000000"/>
    <hyperlink ref="D32" r:id="rId75" display="https://enstru.kz/code_new.jsp?&amp;s=common&amp;p=10&amp;n=0&amp;fc=1&amp;fg=0&amp;new=682012.960.000000"/>
    <hyperlink ref="D35" r:id="rId76" display="https://enstru.kz/code_new.jsp?&amp;s=common&amp;p=10&amp;n=0&amp;fc=1&amp;fg=0&amp;new=682012.960.000000"/>
    <hyperlink ref="D39" r:id="rId77" display="https://enstru.kz/code_new.jsp?&amp;s=common&amp;p=10&amp;n=0&amp;fc=1&amp;fg=0&amp;new=682012.960.000000"/>
    <hyperlink ref="D41" r:id="rId78" display="https://enstru.kz/code_new.jsp?&amp;s=common&amp;p=10&amp;n=0&amp;fc=1&amp;fg=0&amp;new=682012.960.000000"/>
    <hyperlink ref="D87" r:id="rId79" display="https://enstru.kz/code_new.jsp?&amp;t=%D0%BA%D0%BE%D0%BC%D0%BF%D1%8C%D1%8E%D1%82%D0%B5%D1%80&amp;s=common&amp;p=10&amp;n=0&amp;S=26%2E20%2E13%2E000&amp;N=%D0%9A%D0%BE%D0%BC%D0%BF%D1%8C%D1%8E%D1%82%D0%B5%D1%80&amp;ig=%D0%BC%D0%BE%D0%BD%D0%BE%D0%B1%D0%BB%D0%BE%D0%BA&amp;fc=1&amp;fg=1&amp;new=262013.000.000011"/>
    <hyperlink ref="D132" r:id="rId80" display="https://enstru.kz/code_new.jsp?&amp;t=%D0%BF%D1%80%D0%B5%D0%B4%D0%BE%D1%81%D1%82%D0%B0%D0%B2%D0%BB%D0%B5%D0%BD%D0%B8%D0%B5%20%D0%BB%D0%B8%D1%86%D0%B5%D0%BD%D0%B7%D0%B8%D0%B9&amp;s=common&amp;p=10&amp;n=0&amp;S=582950%2E000&amp;N=%D0%A3%D1%81%D0%BB%D1%83%D0%B3%D0%B8%20%D0%BF%D0%BE%20%D0%BF%D1%80%D0%BE%D0%B4%D0%BB%D0%B5%D0%BD%D0%B8%D1%8E%20%D0%BB%D0%B8%D1%86%D0%B5%D0%BD%D0%B7%D0%B8%D0%B9%20%D0%BD%D0%B0%20%D0%BF%D1%80%D0%B0%D0%B2%D0%BE%20%D0%B8%D1%81%D0%BF%D0%BE%D0%BB%D1%8C%D0%B7%D0%BE%D0%B2%D0%B0%D0%BD%D0%B8%D1%8F%20%D0%BF%D1%80%D0%BE%D0%B3%D1%80%D0%B0%D0%BC%D0%BC%D0%BD%D0%BE%D0%B3%D0%BE%20%D0%BE%D0%B1%D0%B5%D1%81%D0%BF%D0%B5%D1%87%D0%B5%D0%BD%D0%B8%D1%8F&amp;fc=1&amp;fg=0&amp;new=582950.000.000000"/>
    <hyperlink ref="D192" r:id="rId81" display="https://enstru.kz/code_new.jsp?&amp;s=common&amp;p=10&amp;n=0&amp;fc=1&amp;fg=0&amp;new=360020.200.000001"/>
    <hyperlink ref="D197" r:id="rId82" display="https://enstru.kz/code_new.jsp?&amp;t=%D0%B1%D0%B0%D1%82%D0%B0%D1%80%D0%B5%D0%B9%D0%BA&amp;s=common&amp;p=10&amp;n=0&amp;S=27%2E20%2E11%2E900&amp;N=%D0%91%D0%B0%D1%82%D0%B0%D1%80%D0%B5%D0%B9%D0%BA%D0%B0&amp;fc=1&amp;fg=1&amp;new=272011.900.000004"/>
    <hyperlink ref="D202" r:id="rId83" display="https://enstru.kz/code_new.jsp?&amp;s=common&amp;p=10&amp;n=0&amp;fc=1&amp;fg=0&amp;new=110711.310.000000"/>
  </hyperlinks>
  <pageMargins left="0.70866141732283472" right="0.70866141732283472" top="0.74803149606299213" bottom="0.74803149606299213" header="0.31496062992125984" footer="0.31496062992125984"/>
  <pageSetup paperSize="9" scale="30" fitToHeight="0" orientation="landscape" r:id="rId84"/>
  <rowBreaks count="11" manualBreakCount="11">
    <brk id="31" max="27" man="1"/>
    <brk id="47" max="27" man="1"/>
    <brk id="62" max="27" man="1"/>
    <brk id="92" max="27" man="1"/>
    <brk id="110" max="27" man="1"/>
    <brk id="119" max="27" man="1"/>
    <brk id="132" max="27" man="1"/>
    <brk id="143" max="27" man="1"/>
    <brk id="157" max="27" man="1"/>
    <brk id="167" max="27" man="1"/>
    <brk id="175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zoomScale="85" zoomScaleNormal="85" workbookViewId="0">
      <pane ySplit="5" topLeftCell="A27" activePane="bottomLeft" state="frozen"/>
      <selection pane="bottomLeft" activeCell="T39" sqref="T39"/>
    </sheetView>
  </sheetViews>
  <sheetFormatPr defaultRowHeight="12.75"/>
  <cols>
    <col min="1" max="1" width="22.42578125" style="485" customWidth="1"/>
    <col min="2" max="2" width="63.85546875" style="480" customWidth="1"/>
    <col min="3" max="3" width="10.42578125" style="483" hidden="1" customWidth="1"/>
    <col min="4" max="4" width="12.140625" style="482" hidden="1" customWidth="1"/>
    <col min="5" max="5" width="12.85546875" style="483" hidden="1" customWidth="1"/>
    <col min="6" max="7" width="9.42578125" style="438" hidden="1" customWidth="1"/>
    <col min="8" max="8" width="10.42578125" style="483" hidden="1" customWidth="1"/>
    <col min="9" max="9" width="12.5703125" style="482" hidden="1" customWidth="1"/>
    <col min="10" max="10" width="12.85546875" style="483" hidden="1" customWidth="1"/>
    <col min="11" max="11" width="12.7109375" style="438" hidden="1" customWidth="1"/>
    <col min="12" max="12" width="12.7109375" style="450" hidden="1" customWidth="1"/>
    <col min="13" max="13" width="11.7109375" style="438" bestFit="1" customWidth="1"/>
    <col min="14" max="14" width="16.7109375" style="438" customWidth="1"/>
    <col min="15" max="15" width="12.140625" style="438" customWidth="1"/>
    <col min="16" max="16" width="13.85546875" style="438" customWidth="1"/>
    <col min="17" max="17" width="11.42578125" style="438" customWidth="1"/>
    <col min="18" max="18" width="15.7109375" style="438" customWidth="1"/>
    <col min="19" max="19" width="19.7109375" style="438" customWidth="1"/>
    <col min="20" max="20" width="15.42578125" style="438" customWidth="1"/>
    <col min="21" max="21" width="13.140625" style="438" customWidth="1"/>
    <col min="22" max="22" width="27" style="438" customWidth="1"/>
    <col min="23" max="16384" width="9.140625" style="438"/>
  </cols>
  <sheetData>
    <row r="1" spans="1:22">
      <c r="A1" s="535" t="s">
        <v>1415</v>
      </c>
      <c r="B1" s="536"/>
      <c r="C1" s="536"/>
      <c r="D1" s="536"/>
      <c r="E1" s="536"/>
      <c r="H1" s="438"/>
      <c r="I1" s="438"/>
      <c r="J1" s="438"/>
    </row>
    <row r="2" spans="1:22">
      <c r="A2" s="451"/>
      <c r="B2" s="452"/>
      <c r="C2" s="452"/>
      <c r="D2" s="452"/>
      <c r="E2" s="452"/>
      <c r="H2" s="452"/>
      <c r="I2" s="452"/>
      <c r="J2" s="452"/>
    </row>
    <row r="3" spans="1:22">
      <c r="A3" s="451"/>
      <c r="B3" s="452"/>
      <c r="C3" s="452"/>
      <c r="D3" s="452"/>
      <c r="E3" s="452"/>
      <c r="H3" s="452"/>
      <c r="I3" s="452"/>
      <c r="J3" s="452"/>
    </row>
    <row r="4" spans="1:22" ht="15" customHeight="1">
      <c r="A4" s="531" t="s">
        <v>1416</v>
      </c>
      <c r="B4" s="531" t="s">
        <v>1417</v>
      </c>
      <c r="C4" s="537" t="s">
        <v>1418</v>
      </c>
      <c r="D4" s="537"/>
      <c r="E4" s="537"/>
      <c r="F4" s="537"/>
      <c r="G4" s="537"/>
      <c r="H4" s="538" t="s">
        <v>1419</v>
      </c>
      <c r="I4" s="538"/>
      <c r="J4" s="538"/>
      <c r="K4" s="538"/>
      <c r="L4" s="538"/>
      <c r="M4" s="534" t="s">
        <v>1420</v>
      </c>
      <c r="N4" s="534"/>
      <c r="O4" s="534"/>
      <c r="P4" s="534"/>
      <c r="Q4" s="534"/>
      <c r="R4" s="531" t="s">
        <v>1421</v>
      </c>
      <c r="S4" s="531" t="s">
        <v>1076</v>
      </c>
      <c r="T4" s="531" t="s">
        <v>1422</v>
      </c>
      <c r="U4" s="533" t="s">
        <v>1423</v>
      </c>
      <c r="V4" s="533" t="s">
        <v>1424</v>
      </c>
    </row>
    <row r="5" spans="1:22" ht="38.25" customHeight="1">
      <c r="A5" s="532"/>
      <c r="B5" s="532"/>
      <c r="C5" s="453" t="s">
        <v>1425</v>
      </c>
      <c r="D5" s="453" t="s">
        <v>1426</v>
      </c>
      <c r="E5" s="453" t="s">
        <v>1427</v>
      </c>
      <c r="F5" s="454" t="s">
        <v>1423</v>
      </c>
      <c r="G5" s="454" t="s">
        <v>1424</v>
      </c>
      <c r="H5" s="455" t="s">
        <v>1425</v>
      </c>
      <c r="I5" s="455" t="s">
        <v>1428</v>
      </c>
      <c r="J5" s="455" t="s">
        <v>1427</v>
      </c>
      <c r="K5" s="456" t="s">
        <v>1423</v>
      </c>
      <c r="L5" s="456" t="s">
        <v>1424</v>
      </c>
      <c r="M5" s="457" t="s">
        <v>1425</v>
      </c>
      <c r="N5" s="457" t="s">
        <v>1428</v>
      </c>
      <c r="O5" s="457" t="s">
        <v>1427</v>
      </c>
      <c r="P5" s="458" t="s">
        <v>1423</v>
      </c>
      <c r="Q5" s="458" t="s">
        <v>1424</v>
      </c>
      <c r="R5" s="532"/>
      <c r="S5" s="532"/>
      <c r="T5" s="532"/>
      <c r="U5" s="533"/>
      <c r="V5" s="533"/>
    </row>
    <row r="6" spans="1:22" s="464" customFormat="1" ht="25.5">
      <c r="A6" s="459" t="s">
        <v>1429</v>
      </c>
      <c r="B6" s="459" t="s">
        <v>1430</v>
      </c>
      <c r="C6" s="460">
        <v>30</v>
      </c>
      <c r="D6" s="460">
        <f>100000*1.12</f>
        <v>112000.00000000001</v>
      </c>
      <c r="E6" s="460">
        <f>C6*D6</f>
        <v>3360000.0000000005</v>
      </c>
      <c r="F6" s="461"/>
      <c r="G6" s="462">
        <f>E6</f>
        <v>3360000.0000000005</v>
      </c>
      <c r="H6" s="460">
        <v>30</v>
      </c>
      <c r="I6" s="460">
        <f>100000*1.12</f>
        <v>112000.00000000001</v>
      </c>
      <c r="J6" s="460">
        <f>H6*I6</f>
        <v>3360000.0000000005</v>
      </c>
      <c r="K6" s="461"/>
      <c r="L6" s="462">
        <f>J6</f>
        <v>3360000.0000000005</v>
      </c>
      <c r="M6" s="460">
        <v>30</v>
      </c>
      <c r="N6" s="460">
        <f>100000*1.12</f>
        <v>112000.00000000001</v>
      </c>
      <c r="O6" s="460">
        <f>M6*N6</f>
        <v>3360000.0000000005</v>
      </c>
      <c r="P6" s="461"/>
      <c r="Q6" s="462">
        <f>O6</f>
        <v>3360000.0000000005</v>
      </c>
      <c r="R6" s="463" t="s">
        <v>1431</v>
      </c>
      <c r="S6" s="463" t="s">
        <v>1432</v>
      </c>
      <c r="T6" s="486">
        <f>3718000/2</f>
        <v>1859000</v>
      </c>
      <c r="U6" s="460"/>
      <c r="V6" s="460">
        <f>T6</f>
        <v>1859000</v>
      </c>
    </row>
    <row r="7" spans="1:22" s="464" customFormat="1" ht="25.5">
      <c r="A7" s="459" t="s">
        <v>1429</v>
      </c>
      <c r="B7" s="459" t="s">
        <v>1433</v>
      </c>
      <c r="C7" s="460">
        <v>3</v>
      </c>
      <c r="D7" s="460">
        <f>60000*1.12</f>
        <v>67200</v>
      </c>
      <c r="E7" s="460">
        <f>C7*D7</f>
        <v>201600</v>
      </c>
      <c r="F7" s="461"/>
      <c r="G7" s="462">
        <f t="shared" ref="G7:G44" si="0">E7</f>
        <v>201600</v>
      </c>
      <c r="H7" s="460">
        <v>30</v>
      </c>
      <c r="I7" s="460">
        <f>60000*1.12</f>
        <v>67200</v>
      </c>
      <c r="J7" s="460">
        <f>H7*I7</f>
        <v>2016000</v>
      </c>
      <c r="K7" s="461"/>
      <c r="L7" s="462">
        <f t="shared" ref="L7" si="1">J7</f>
        <v>2016000</v>
      </c>
      <c r="M7" s="460">
        <v>30</v>
      </c>
      <c r="N7" s="460">
        <f>60000*1.12</f>
        <v>67200</v>
      </c>
      <c r="O7" s="460">
        <f>M7*N7</f>
        <v>2016000</v>
      </c>
      <c r="P7" s="461"/>
      <c r="Q7" s="462">
        <f t="shared" ref="Q7" si="2">O7</f>
        <v>2016000</v>
      </c>
      <c r="R7" s="463" t="s">
        <v>1434</v>
      </c>
      <c r="S7" s="463" t="s">
        <v>1435</v>
      </c>
      <c r="T7" s="486">
        <f>3091200/2</f>
        <v>1545600</v>
      </c>
      <c r="U7" s="460"/>
      <c r="V7" s="460">
        <f>T7</f>
        <v>1545600</v>
      </c>
    </row>
    <row r="8" spans="1:22" s="464" customFormat="1" ht="25.5">
      <c r="A8" s="459" t="s">
        <v>1429</v>
      </c>
      <c r="B8" s="459" t="s">
        <v>1436</v>
      </c>
      <c r="C8" s="460"/>
      <c r="D8" s="460"/>
      <c r="E8" s="460"/>
      <c r="F8" s="461"/>
      <c r="G8" s="462"/>
      <c r="H8" s="460">
        <v>80</v>
      </c>
      <c r="I8" s="460">
        <v>39200</v>
      </c>
      <c r="J8" s="460">
        <f>I8*H8</f>
        <v>3136000</v>
      </c>
      <c r="K8" s="461"/>
      <c r="L8" s="462">
        <f>J8</f>
        <v>3136000</v>
      </c>
      <c r="M8" s="460"/>
      <c r="N8" s="460"/>
      <c r="O8" s="460"/>
      <c r="P8" s="461"/>
      <c r="Q8" s="462"/>
      <c r="R8" s="461"/>
      <c r="S8" s="461"/>
      <c r="T8" s="460"/>
      <c r="U8" s="460"/>
      <c r="V8" s="460"/>
    </row>
    <row r="9" spans="1:22" s="464" customFormat="1" ht="39" customHeight="1">
      <c r="A9" s="459" t="s">
        <v>1429</v>
      </c>
      <c r="B9" s="459" t="s">
        <v>1437</v>
      </c>
      <c r="C9" s="460"/>
      <c r="D9" s="460"/>
      <c r="E9" s="460"/>
      <c r="F9" s="461"/>
      <c r="G9" s="462"/>
      <c r="H9" s="460">
        <v>3</v>
      </c>
      <c r="I9" s="460">
        <v>67200</v>
      </c>
      <c r="J9" s="460">
        <f>I9*H9</f>
        <v>201600</v>
      </c>
      <c r="K9" s="461"/>
      <c r="L9" s="462">
        <f>J9</f>
        <v>201600</v>
      </c>
      <c r="M9" s="460">
        <v>3</v>
      </c>
      <c r="N9" s="460">
        <v>67200</v>
      </c>
      <c r="O9" s="460">
        <f>N9*M9</f>
        <v>201600</v>
      </c>
      <c r="P9" s="461"/>
      <c r="Q9" s="462">
        <f>O9</f>
        <v>201600</v>
      </c>
      <c r="R9" s="461"/>
      <c r="S9" s="461"/>
      <c r="T9" s="486">
        <f>O9</f>
        <v>201600</v>
      </c>
      <c r="U9" s="460"/>
      <c r="V9" s="460">
        <f>Q9</f>
        <v>201600</v>
      </c>
    </row>
    <row r="10" spans="1:22" s="464" customFormat="1" ht="39" customHeight="1">
      <c r="A10" s="459" t="s">
        <v>1429</v>
      </c>
      <c r="B10" s="459" t="s">
        <v>1438</v>
      </c>
      <c r="C10" s="460"/>
      <c r="D10" s="460"/>
      <c r="E10" s="460"/>
      <c r="F10" s="461"/>
      <c r="G10" s="462"/>
      <c r="H10" s="460"/>
      <c r="I10" s="460"/>
      <c r="J10" s="460"/>
      <c r="K10" s="461"/>
      <c r="L10" s="462"/>
      <c r="M10" s="460">
        <v>10</v>
      </c>
      <c r="N10" s="460">
        <v>128800</v>
      </c>
      <c r="O10" s="460">
        <f>N10*M10</f>
        <v>1288000</v>
      </c>
      <c r="P10" s="461"/>
      <c r="Q10" s="462">
        <f>O10</f>
        <v>1288000</v>
      </c>
      <c r="R10" s="461"/>
      <c r="S10" s="461"/>
      <c r="T10" s="486">
        <f>O10</f>
        <v>1288000</v>
      </c>
      <c r="U10" s="460"/>
      <c r="V10" s="460">
        <f>Q10</f>
        <v>1288000</v>
      </c>
    </row>
    <row r="11" spans="1:22" s="464" customFormat="1" ht="38.25">
      <c r="A11" s="465" t="s">
        <v>1439</v>
      </c>
      <c r="B11" s="465" t="s">
        <v>1430</v>
      </c>
      <c r="C11" s="466">
        <v>30</v>
      </c>
      <c r="D11" s="466">
        <f>100000*1.12</f>
        <v>112000.00000000001</v>
      </c>
      <c r="E11" s="466">
        <f>C11*D11</f>
        <v>3360000.0000000005</v>
      </c>
      <c r="F11" s="467">
        <f>E11</f>
        <v>3360000.0000000005</v>
      </c>
      <c r="G11" s="467" t="s">
        <v>1069</v>
      </c>
      <c r="H11" s="466">
        <v>30</v>
      </c>
      <c r="I11" s="466">
        <f>100000*1.12</f>
        <v>112000.00000000001</v>
      </c>
      <c r="J11" s="466">
        <f>H11*I11</f>
        <v>3360000.0000000005</v>
      </c>
      <c r="K11" s="467">
        <f t="shared" ref="K11:K16" si="3">J11</f>
        <v>3360000.0000000005</v>
      </c>
      <c r="L11" s="467" t="s">
        <v>1069</v>
      </c>
      <c r="M11" s="466">
        <v>30</v>
      </c>
      <c r="N11" s="466">
        <f>100000*1.12</f>
        <v>112000.00000000001</v>
      </c>
      <c r="O11" s="466">
        <f>M11*N11</f>
        <v>3360000.0000000005</v>
      </c>
      <c r="P11" s="467">
        <f t="shared" ref="P11:P17" si="4">O11</f>
        <v>3360000.0000000005</v>
      </c>
      <c r="Q11" s="467" t="s">
        <v>1069</v>
      </c>
      <c r="R11" s="463" t="s">
        <v>1431</v>
      </c>
      <c r="S11" s="463" t="s">
        <v>1432</v>
      </c>
      <c r="T11" s="486">
        <f>3718000/2</f>
        <v>1859000</v>
      </c>
      <c r="U11" s="460">
        <f>T11</f>
        <v>1859000</v>
      </c>
      <c r="V11" s="460"/>
    </row>
    <row r="12" spans="1:22" s="464" customFormat="1" ht="38.25">
      <c r="A12" s="465" t="s">
        <v>1439</v>
      </c>
      <c r="B12" s="465" t="s">
        <v>1433</v>
      </c>
      <c r="C12" s="466">
        <v>2</v>
      </c>
      <c r="D12" s="466">
        <f>60000*1.12</f>
        <v>67200</v>
      </c>
      <c r="E12" s="466">
        <f>C12*D12</f>
        <v>134400</v>
      </c>
      <c r="F12" s="467">
        <f>E12</f>
        <v>134400</v>
      </c>
      <c r="G12" s="467" t="s">
        <v>1069</v>
      </c>
      <c r="H12" s="466">
        <v>30</v>
      </c>
      <c r="I12" s="466">
        <f>60000*1.12</f>
        <v>67200</v>
      </c>
      <c r="J12" s="466">
        <f>H12*I12</f>
        <v>2016000</v>
      </c>
      <c r="K12" s="467">
        <f t="shared" si="3"/>
        <v>2016000</v>
      </c>
      <c r="L12" s="467" t="s">
        <v>1069</v>
      </c>
      <c r="M12" s="466">
        <v>30</v>
      </c>
      <c r="N12" s="466">
        <f>60000*1.12</f>
        <v>67200</v>
      </c>
      <c r="O12" s="466">
        <f>M12*N12</f>
        <v>2016000</v>
      </c>
      <c r="P12" s="467">
        <f t="shared" si="4"/>
        <v>2016000</v>
      </c>
      <c r="Q12" s="467" t="s">
        <v>1069</v>
      </c>
      <c r="R12" s="463" t="s">
        <v>1434</v>
      </c>
      <c r="S12" s="463" t="s">
        <v>1435</v>
      </c>
      <c r="T12" s="486">
        <f>3091200/2</f>
        <v>1545600</v>
      </c>
      <c r="U12" s="460">
        <f>T12</f>
        <v>1545600</v>
      </c>
      <c r="V12" s="460"/>
    </row>
    <row r="13" spans="1:22" s="464" customFormat="1" ht="38.25">
      <c r="A13" s="465" t="s">
        <v>1439</v>
      </c>
      <c r="B13" s="465" t="s">
        <v>1436</v>
      </c>
      <c r="C13" s="466"/>
      <c r="D13" s="466"/>
      <c r="E13" s="466"/>
      <c r="F13" s="467"/>
      <c r="G13" s="467"/>
      <c r="H13" s="466">
        <v>70</v>
      </c>
      <c r="I13" s="466">
        <v>39200</v>
      </c>
      <c r="J13" s="466">
        <f>I13*H13</f>
        <v>2744000</v>
      </c>
      <c r="K13" s="467">
        <f t="shared" si="3"/>
        <v>2744000</v>
      </c>
      <c r="L13" s="467"/>
      <c r="M13" s="466"/>
      <c r="N13" s="466"/>
      <c r="O13" s="466"/>
      <c r="P13" s="467"/>
      <c r="Q13" s="467"/>
      <c r="R13" s="461"/>
      <c r="S13" s="461"/>
      <c r="T13" s="486"/>
      <c r="U13" s="460"/>
      <c r="V13" s="460"/>
    </row>
    <row r="14" spans="1:22" s="464" customFormat="1" ht="42" customHeight="1">
      <c r="A14" s="465" t="s">
        <v>1439</v>
      </c>
      <c r="B14" s="465" t="s">
        <v>1440</v>
      </c>
      <c r="C14" s="466"/>
      <c r="D14" s="466"/>
      <c r="E14" s="466"/>
      <c r="F14" s="467"/>
      <c r="G14" s="467"/>
      <c r="H14" s="466">
        <v>3</v>
      </c>
      <c r="I14" s="466">
        <v>67200</v>
      </c>
      <c r="J14" s="466">
        <f>I14*H14</f>
        <v>201600</v>
      </c>
      <c r="K14" s="467">
        <f t="shared" si="3"/>
        <v>201600</v>
      </c>
      <c r="L14" s="467"/>
      <c r="M14" s="466">
        <v>3</v>
      </c>
      <c r="N14" s="466">
        <v>67200</v>
      </c>
      <c r="O14" s="466">
        <f>N14*M14</f>
        <v>201600</v>
      </c>
      <c r="P14" s="467">
        <f t="shared" si="4"/>
        <v>201600</v>
      </c>
      <c r="Q14" s="467"/>
      <c r="R14" s="461"/>
      <c r="S14" s="461"/>
      <c r="T14" s="486">
        <f>O14</f>
        <v>201600</v>
      </c>
      <c r="U14" s="460">
        <f>P14</f>
        <v>201600</v>
      </c>
      <c r="V14" s="460"/>
    </row>
    <row r="15" spans="1:22" s="464" customFormat="1" ht="25.5">
      <c r="A15" s="465" t="s">
        <v>1441</v>
      </c>
      <c r="B15" s="465" t="s">
        <v>1442</v>
      </c>
      <c r="C15" s="466"/>
      <c r="D15" s="466"/>
      <c r="E15" s="466"/>
      <c r="F15" s="467"/>
      <c r="G15" s="467"/>
      <c r="H15" s="466">
        <v>10</v>
      </c>
      <c r="I15" s="466">
        <v>224000</v>
      </c>
      <c r="J15" s="466">
        <f>I15*H15</f>
        <v>2240000</v>
      </c>
      <c r="K15" s="467">
        <f t="shared" si="3"/>
        <v>2240000</v>
      </c>
      <c r="L15" s="467"/>
      <c r="M15" s="466">
        <v>2</v>
      </c>
      <c r="N15" s="466">
        <v>224000</v>
      </c>
      <c r="O15" s="466">
        <f>N15*M15</f>
        <v>448000</v>
      </c>
      <c r="P15" s="467">
        <f t="shared" si="4"/>
        <v>448000</v>
      </c>
      <c r="Q15" s="467"/>
      <c r="R15" s="463" t="s">
        <v>1443</v>
      </c>
      <c r="S15" s="463" t="s">
        <v>1444</v>
      </c>
      <c r="T15" s="486">
        <v>313300</v>
      </c>
      <c r="U15" s="460">
        <f>T15</f>
        <v>313300</v>
      </c>
      <c r="V15" s="460"/>
    </row>
    <row r="16" spans="1:22" s="464" customFormat="1" ht="25.5">
      <c r="A16" s="465" t="s">
        <v>1441</v>
      </c>
      <c r="B16" s="465" t="s">
        <v>1445</v>
      </c>
      <c r="C16" s="466"/>
      <c r="D16" s="466"/>
      <c r="E16" s="466"/>
      <c r="F16" s="467"/>
      <c r="G16" s="467"/>
      <c r="H16" s="466">
        <v>3</v>
      </c>
      <c r="I16" s="466">
        <v>224000</v>
      </c>
      <c r="J16" s="466">
        <f>I16*H16</f>
        <v>672000</v>
      </c>
      <c r="K16" s="467">
        <f t="shared" si="3"/>
        <v>672000</v>
      </c>
      <c r="L16" s="467"/>
      <c r="M16" s="466">
        <v>3</v>
      </c>
      <c r="N16" s="466">
        <v>224000</v>
      </c>
      <c r="O16" s="466">
        <f>N16*M16</f>
        <v>672000</v>
      </c>
      <c r="P16" s="467">
        <f t="shared" si="4"/>
        <v>672000</v>
      </c>
      <c r="Q16" s="467"/>
      <c r="R16" s="463" t="s">
        <v>1443</v>
      </c>
      <c r="S16" s="463" t="s">
        <v>1444</v>
      </c>
      <c r="T16" s="486">
        <v>479700</v>
      </c>
      <c r="U16" s="460">
        <f t="shared" ref="U16:U17" si="5">T16</f>
        <v>479700</v>
      </c>
      <c r="V16" s="460"/>
    </row>
    <row r="17" spans="1:22" s="464" customFormat="1" ht="25.5">
      <c r="A17" s="465" t="s">
        <v>1441</v>
      </c>
      <c r="B17" s="465" t="s">
        <v>1446</v>
      </c>
      <c r="C17" s="466"/>
      <c r="D17" s="466"/>
      <c r="E17" s="466"/>
      <c r="F17" s="467"/>
      <c r="G17" s="467"/>
      <c r="H17" s="466"/>
      <c r="I17" s="466"/>
      <c r="J17" s="466"/>
      <c r="K17" s="467"/>
      <c r="L17" s="467"/>
      <c r="M17" s="466">
        <v>5</v>
      </c>
      <c r="N17" s="466">
        <v>80640</v>
      </c>
      <c r="O17" s="466">
        <f>N17*M17</f>
        <v>403200</v>
      </c>
      <c r="P17" s="467">
        <f t="shared" si="4"/>
        <v>403200</v>
      </c>
      <c r="Q17" s="467"/>
      <c r="R17" s="463" t="s">
        <v>1443</v>
      </c>
      <c r="S17" s="463" t="s">
        <v>1444</v>
      </c>
      <c r="T17" s="486">
        <v>298290</v>
      </c>
      <c r="U17" s="460">
        <f t="shared" si="5"/>
        <v>298290</v>
      </c>
      <c r="V17" s="460"/>
    </row>
    <row r="18" spans="1:22" s="464" customFormat="1">
      <c r="A18" s="459" t="s">
        <v>1447</v>
      </c>
      <c r="B18" s="459" t="s">
        <v>1448</v>
      </c>
      <c r="C18" s="468">
        <v>10</v>
      </c>
      <c r="D18" s="469">
        <f>60000*1.12</f>
        <v>67200</v>
      </c>
      <c r="E18" s="469">
        <f t="shared" ref="E18:E29" si="6">D18*C18</f>
        <v>672000</v>
      </c>
      <c r="F18" s="461"/>
      <c r="G18" s="462">
        <f t="shared" si="0"/>
        <v>672000</v>
      </c>
      <c r="H18" s="468">
        <v>3</v>
      </c>
      <c r="I18" s="469">
        <f>60000*1.12</f>
        <v>67200</v>
      </c>
      <c r="J18" s="469">
        <f t="shared" ref="J18:J29" si="7">I18*H18</f>
        <v>201600</v>
      </c>
      <c r="K18" s="461"/>
      <c r="L18" s="462">
        <f t="shared" ref="L18:L47" si="8">J18</f>
        <v>201600</v>
      </c>
      <c r="M18" s="468"/>
      <c r="N18" s="469"/>
      <c r="O18" s="469"/>
      <c r="P18" s="461"/>
      <c r="Q18" s="462"/>
      <c r="R18" s="461"/>
      <c r="S18" s="461"/>
      <c r="T18" s="486"/>
      <c r="U18" s="460"/>
      <c r="V18" s="460"/>
    </row>
    <row r="19" spans="1:22" s="464" customFormat="1" ht="25.5">
      <c r="A19" s="459" t="s">
        <v>1447</v>
      </c>
      <c r="B19" s="459" t="s">
        <v>1449</v>
      </c>
      <c r="C19" s="468"/>
      <c r="D19" s="469"/>
      <c r="E19" s="469"/>
      <c r="F19" s="461"/>
      <c r="G19" s="462"/>
      <c r="H19" s="468">
        <v>3</v>
      </c>
      <c r="I19" s="469">
        <v>168000</v>
      </c>
      <c r="J19" s="469">
        <f>I19*H19</f>
        <v>504000</v>
      </c>
      <c r="K19" s="461"/>
      <c r="L19" s="462">
        <f t="shared" si="8"/>
        <v>504000</v>
      </c>
      <c r="M19" s="468">
        <v>3</v>
      </c>
      <c r="N19" s="469">
        <v>168000</v>
      </c>
      <c r="O19" s="469">
        <f>N19*M19</f>
        <v>504000</v>
      </c>
      <c r="P19" s="461"/>
      <c r="Q19" s="462">
        <f t="shared" ref="Q19:Q36" si="9">O19</f>
        <v>504000</v>
      </c>
      <c r="R19" s="463" t="s">
        <v>1443</v>
      </c>
      <c r="S19" s="463" t="s">
        <v>1444</v>
      </c>
      <c r="T19" s="486">
        <v>379380</v>
      </c>
      <c r="U19" s="460"/>
      <c r="V19" s="460">
        <f>T19</f>
        <v>379380</v>
      </c>
    </row>
    <row r="20" spans="1:22" s="464" customFormat="1">
      <c r="A20" s="470" t="s">
        <v>1450</v>
      </c>
      <c r="B20" s="459" t="s">
        <v>1451</v>
      </c>
      <c r="C20" s="468">
        <v>2</v>
      </c>
      <c r="D20" s="468">
        <f>88000*1.12</f>
        <v>98560.000000000015</v>
      </c>
      <c r="E20" s="468">
        <f t="shared" si="6"/>
        <v>197120.00000000003</v>
      </c>
      <c r="F20" s="461"/>
      <c r="G20" s="462">
        <f t="shared" si="0"/>
        <v>197120.00000000003</v>
      </c>
      <c r="H20" s="468">
        <v>1</v>
      </c>
      <c r="I20" s="468">
        <f>88000*1.12</f>
        <v>98560.000000000015</v>
      </c>
      <c r="J20" s="468">
        <f t="shared" si="7"/>
        <v>98560.000000000015</v>
      </c>
      <c r="K20" s="461"/>
      <c r="L20" s="462">
        <f t="shared" si="8"/>
        <v>98560.000000000015</v>
      </c>
      <c r="M20" s="468"/>
      <c r="N20" s="468"/>
      <c r="O20" s="468"/>
      <c r="P20" s="461"/>
      <c r="Q20" s="462"/>
      <c r="R20" s="461"/>
      <c r="S20" s="461"/>
      <c r="T20" s="460"/>
      <c r="U20" s="460"/>
      <c r="V20" s="460"/>
    </row>
    <row r="21" spans="1:22" s="464" customFormat="1">
      <c r="A21" s="470" t="s">
        <v>1450</v>
      </c>
      <c r="B21" s="459" t="s">
        <v>1452</v>
      </c>
      <c r="C21" s="468">
        <v>2</v>
      </c>
      <c r="D21" s="468">
        <f>99000*1.12</f>
        <v>110880.00000000001</v>
      </c>
      <c r="E21" s="468">
        <f t="shared" si="6"/>
        <v>221760.00000000003</v>
      </c>
      <c r="F21" s="461"/>
      <c r="G21" s="462">
        <f t="shared" si="0"/>
        <v>221760.00000000003</v>
      </c>
      <c r="H21" s="468">
        <v>1</v>
      </c>
      <c r="I21" s="468">
        <f>99000*1.12</f>
        <v>110880.00000000001</v>
      </c>
      <c r="J21" s="468">
        <f t="shared" si="7"/>
        <v>110880.00000000001</v>
      </c>
      <c r="K21" s="461"/>
      <c r="L21" s="462">
        <f t="shared" si="8"/>
        <v>110880.00000000001</v>
      </c>
      <c r="M21" s="468"/>
      <c r="N21" s="468"/>
      <c r="O21" s="468"/>
      <c r="P21" s="461"/>
      <c r="Q21" s="462"/>
      <c r="R21" s="461"/>
      <c r="S21" s="461"/>
      <c r="T21" s="460"/>
      <c r="U21" s="460"/>
      <c r="V21" s="460"/>
    </row>
    <row r="22" spans="1:22" s="464" customFormat="1" ht="25.5">
      <c r="A22" s="470" t="s">
        <v>1450</v>
      </c>
      <c r="B22" s="459" t="s">
        <v>1453</v>
      </c>
      <c r="C22" s="468">
        <v>1</v>
      </c>
      <c r="D22" s="468">
        <f>219520*1.12</f>
        <v>245862.40000000002</v>
      </c>
      <c r="E22" s="468">
        <f t="shared" si="6"/>
        <v>245862.40000000002</v>
      </c>
      <c r="F22" s="461"/>
      <c r="G22" s="462">
        <f t="shared" si="0"/>
        <v>245862.40000000002</v>
      </c>
      <c r="H22" s="468">
        <v>1</v>
      </c>
      <c r="I22" s="468">
        <f>219520*1.12</f>
        <v>245862.40000000002</v>
      </c>
      <c r="J22" s="468">
        <f t="shared" si="7"/>
        <v>245862.40000000002</v>
      </c>
      <c r="K22" s="461"/>
      <c r="L22" s="462">
        <f t="shared" si="8"/>
        <v>245862.40000000002</v>
      </c>
      <c r="M22" s="468"/>
      <c r="N22" s="468"/>
      <c r="O22" s="468"/>
      <c r="P22" s="461"/>
      <c r="Q22" s="462"/>
      <c r="R22" s="461"/>
      <c r="S22" s="461"/>
      <c r="T22" s="460"/>
      <c r="U22" s="460"/>
      <c r="V22" s="460"/>
    </row>
    <row r="23" spans="1:22" s="464" customFormat="1">
      <c r="A23" s="470" t="s">
        <v>1450</v>
      </c>
      <c r="B23" s="459" t="s">
        <v>1454</v>
      </c>
      <c r="C23" s="468">
        <v>1</v>
      </c>
      <c r="D23" s="468">
        <f>50000*1.12</f>
        <v>56000.000000000007</v>
      </c>
      <c r="E23" s="468">
        <f t="shared" si="6"/>
        <v>56000.000000000007</v>
      </c>
      <c r="F23" s="461"/>
      <c r="G23" s="462">
        <f t="shared" si="0"/>
        <v>56000.000000000007</v>
      </c>
      <c r="H23" s="468">
        <v>1</v>
      </c>
      <c r="I23" s="468">
        <f>50000*1.12</f>
        <v>56000.000000000007</v>
      </c>
      <c r="J23" s="468">
        <f t="shared" si="7"/>
        <v>56000.000000000007</v>
      </c>
      <c r="K23" s="461"/>
      <c r="L23" s="462">
        <f t="shared" si="8"/>
        <v>56000.000000000007</v>
      </c>
      <c r="M23" s="468"/>
      <c r="N23" s="468"/>
      <c r="O23" s="468"/>
      <c r="P23" s="461"/>
      <c r="Q23" s="462"/>
      <c r="R23" s="461"/>
      <c r="S23" s="461"/>
      <c r="T23" s="460"/>
      <c r="U23" s="460"/>
      <c r="V23" s="460"/>
    </row>
    <row r="24" spans="1:22" s="464" customFormat="1">
      <c r="A24" s="470" t="s">
        <v>1450</v>
      </c>
      <c r="B24" s="459" t="s">
        <v>1455</v>
      </c>
      <c r="C24" s="468"/>
      <c r="D24" s="468"/>
      <c r="E24" s="468"/>
      <c r="F24" s="461"/>
      <c r="G24" s="462"/>
      <c r="H24" s="468"/>
      <c r="I24" s="468"/>
      <c r="J24" s="468"/>
      <c r="K24" s="461"/>
      <c r="L24" s="462"/>
      <c r="M24" s="468">
        <v>2</v>
      </c>
      <c r="N24" s="468">
        <v>143651</v>
      </c>
      <c r="O24" s="469">
        <f t="shared" ref="O24:O29" si="10">N24*M24</f>
        <v>287302</v>
      </c>
      <c r="P24" s="461"/>
      <c r="Q24" s="462">
        <f t="shared" si="9"/>
        <v>287302</v>
      </c>
      <c r="R24" s="461"/>
      <c r="S24" s="461"/>
      <c r="T24" s="486">
        <f>O24</f>
        <v>287302</v>
      </c>
      <c r="U24" s="460"/>
      <c r="V24" s="460">
        <f>Q24</f>
        <v>287302</v>
      </c>
    </row>
    <row r="25" spans="1:22" s="464" customFormat="1">
      <c r="A25" s="470" t="s">
        <v>1450</v>
      </c>
      <c r="B25" s="459" t="s">
        <v>1456</v>
      </c>
      <c r="C25" s="468"/>
      <c r="D25" s="468"/>
      <c r="E25" s="468"/>
      <c r="F25" s="461"/>
      <c r="G25" s="462"/>
      <c r="H25" s="468"/>
      <c r="I25" s="468"/>
      <c r="J25" s="468"/>
      <c r="K25" s="461"/>
      <c r="L25" s="462"/>
      <c r="M25" s="468">
        <v>2</v>
      </c>
      <c r="N25" s="468">
        <v>56000</v>
      </c>
      <c r="O25" s="469">
        <f t="shared" si="10"/>
        <v>112000</v>
      </c>
      <c r="P25" s="461"/>
      <c r="Q25" s="462">
        <f t="shared" si="9"/>
        <v>112000</v>
      </c>
      <c r="R25" s="461"/>
      <c r="S25" s="461"/>
      <c r="T25" s="486">
        <f t="shared" ref="T25:T26" si="11">O25</f>
        <v>112000</v>
      </c>
      <c r="U25" s="460"/>
      <c r="V25" s="460">
        <f t="shared" ref="V25:V26" si="12">Q25</f>
        <v>112000</v>
      </c>
    </row>
    <row r="26" spans="1:22" s="464" customFormat="1">
      <c r="A26" s="470" t="s">
        <v>1450</v>
      </c>
      <c r="B26" s="459" t="s">
        <v>1457</v>
      </c>
      <c r="C26" s="468"/>
      <c r="D26" s="468"/>
      <c r="E26" s="468"/>
      <c r="F26" s="461"/>
      <c r="G26" s="462"/>
      <c r="H26" s="468"/>
      <c r="I26" s="468"/>
      <c r="J26" s="468"/>
      <c r="K26" s="461"/>
      <c r="L26" s="462"/>
      <c r="M26" s="468">
        <v>2</v>
      </c>
      <c r="N26" s="468">
        <v>56000</v>
      </c>
      <c r="O26" s="469">
        <f t="shared" si="10"/>
        <v>112000</v>
      </c>
      <c r="P26" s="461"/>
      <c r="Q26" s="462">
        <f t="shared" si="9"/>
        <v>112000</v>
      </c>
      <c r="R26" s="461"/>
      <c r="S26" s="461"/>
      <c r="T26" s="486">
        <f t="shared" si="11"/>
        <v>112000</v>
      </c>
      <c r="U26" s="460"/>
      <c r="V26" s="460">
        <f t="shared" si="12"/>
        <v>112000</v>
      </c>
    </row>
    <row r="27" spans="1:22" s="464" customFormat="1" ht="25.5">
      <c r="A27" s="470" t="s">
        <v>1458</v>
      </c>
      <c r="B27" s="459" t="s">
        <v>1459</v>
      </c>
      <c r="C27" s="468">
        <v>2</v>
      </c>
      <c r="D27" s="468">
        <f>340000</f>
        <v>340000</v>
      </c>
      <c r="E27" s="468">
        <f t="shared" si="6"/>
        <v>680000</v>
      </c>
      <c r="F27" s="461"/>
      <c r="G27" s="462">
        <f t="shared" si="0"/>
        <v>680000</v>
      </c>
      <c r="H27" s="468">
        <v>2</v>
      </c>
      <c r="I27" s="468">
        <f>340000</f>
        <v>340000</v>
      </c>
      <c r="J27" s="468">
        <f t="shared" si="7"/>
        <v>680000</v>
      </c>
      <c r="K27" s="461"/>
      <c r="L27" s="462">
        <f t="shared" si="8"/>
        <v>680000</v>
      </c>
      <c r="M27" s="468">
        <v>2</v>
      </c>
      <c r="N27" s="468">
        <f>340000</f>
        <v>340000</v>
      </c>
      <c r="O27" s="468">
        <f t="shared" si="10"/>
        <v>680000</v>
      </c>
      <c r="P27" s="461"/>
      <c r="Q27" s="462">
        <f t="shared" si="9"/>
        <v>680000</v>
      </c>
      <c r="R27" s="463" t="s">
        <v>1460</v>
      </c>
      <c r="S27" s="463" t="s">
        <v>1461</v>
      </c>
      <c r="T27" s="486">
        <v>480200</v>
      </c>
      <c r="U27" s="460"/>
      <c r="V27" s="460">
        <f>T27</f>
        <v>480200</v>
      </c>
    </row>
    <row r="28" spans="1:22" s="464" customFormat="1" ht="25.5">
      <c r="A28" s="470" t="s">
        <v>1458</v>
      </c>
      <c r="B28" s="459" t="s">
        <v>1462</v>
      </c>
      <c r="C28" s="468">
        <v>1</v>
      </c>
      <c r="D28" s="468">
        <f>450000</f>
        <v>450000</v>
      </c>
      <c r="E28" s="468">
        <f t="shared" si="6"/>
        <v>450000</v>
      </c>
      <c r="F28" s="461"/>
      <c r="G28" s="462">
        <f t="shared" si="0"/>
        <v>450000</v>
      </c>
      <c r="H28" s="468">
        <v>1</v>
      </c>
      <c r="I28" s="468">
        <f>450000</f>
        <v>450000</v>
      </c>
      <c r="J28" s="468">
        <f t="shared" si="7"/>
        <v>450000</v>
      </c>
      <c r="K28" s="461"/>
      <c r="L28" s="462">
        <f t="shared" si="8"/>
        <v>450000</v>
      </c>
      <c r="M28" s="468">
        <v>1</v>
      </c>
      <c r="N28" s="468">
        <f>450000</f>
        <v>450000</v>
      </c>
      <c r="O28" s="468">
        <f t="shared" si="10"/>
        <v>450000</v>
      </c>
      <c r="P28" s="461"/>
      <c r="Q28" s="462">
        <f t="shared" si="9"/>
        <v>450000</v>
      </c>
      <c r="R28" s="463" t="s">
        <v>1460</v>
      </c>
      <c r="S28" s="463" t="s">
        <v>1463</v>
      </c>
      <c r="T28" s="486">
        <v>392000</v>
      </c>
      <c r="U28" s="460"/>
      <c r="V28" s="460">
        <f t="shared" ref="V28:V35" si="13">T28</f>
        <v>392000</v>
      </c>
    </row>
    <row r="29" spans="1:22" s="464" customFormat="1" ht="25.5">
      <c r="A29" s="470" t="s">
        <v>1458</v>
      </c>
      <c r="B29" s="459" t="s">
        <v>1464</v>
      </c>
      <c r="C29" s="468">
        <v>1</v>
      </c>
      <c r="D29" s="468">
        <f>250000</f>
        <v>250000</v>
      </c>
      <c r="E29" s="468">
        <f t="shared" si="6"/>
        <v>250000</v>
      </c>
      <c r="F29" s="461"/>
      <c r="G29" s="462">
        <f t="shared" si="0"/>
        <v>250000</v>
      </c>
      <c r="H29" s="468">
        <v>1</v>
      </c>
      <c r="I29" s="468">
        <f>250000</f>
        <v>250000</v>
      </c>
      <c r="J29" s="468">
        <f t="shared" si="7"/>
        <v>250000</v>
      </c>
      <c r="K29" s="461"/>
      <c r="L29" s="462">
        <f t="shared" si="8"/>
        <v>250000</v>
      </c>
      <c r="M29" s="468">
        <v>1</v>
      </c>
      <c r="N29" s="468">
        <f>250000</f>
        <v>250000</v>
      </c>
      <c r="O29" s="468">
        <f t="shared" si="10"/>
        <v>250000</v>
      </c>
      <c r="P29" s="461"/>
      <c r="Q29" s="462">
        <f t="shared" si="9"/>
        <v>250000</v>
      </c>
      <c r="R29" s="463" t="s">
        <v>1460</v>
      </c>
      <c r="S29" s="463" t="s">
        <v>1465</v>
      </c>
      <c r="T29" s="486">
        <v>238000</v>
      </c>
      <c r="U29" s="460"/>
      <c r="V29" s="460">
        <f t="shared" si="13"/>
        <v>238000</v>
      </c>
    </row>
    <row r="30" spans="1:22" s="464" customFormat="1" ht="25.5">
      <c r="A30" s="471" t="s">
        <v>1466</v>
      </c>
      <c r="B30" s="472" t="s">
        <v>1467</v>
      </c>
      <c r="C30" s="468">
        <v>2</v>
      </c>
      <c r="D30" s="469">
        <f>90000*1.12</f>
        <v>100800.00000000001</v>
      </c>
      <c r="E30" s="469">
        <f>C30*D30</f>
        <v>201600.00000000003</v>
      </c>
      <c r="F30" s="461"/>
      <c r="G30" s="462">
        <f t="shared" si="0"/>
        <v>201600.00000000003</v>
      </c>
      <c r="H30" s="468">
        <v>2</v>
      </c>
      <c r="I30" s="469">
        <f>90000*1.12</f>
        <v>100800.00000000001</v>
      </c>
      <c r="J30" s="469">
        <f>H30*I30</f>
        <v>201600.00000000003</v>
      </c>
      <c r="K30" s="461"/>
      <c r="L30" s="462">
        <f t="shared" si="8"/>
        <v>201600.00000000003</v>
      </c>
      <c r="M30" s="468">
        <v>2</v>
      </c>
      <c r="N30" s="469">
        <f>90000*1.12</f>
        <v>100800.00000000001</v>
      </c>
      <c r="O30" s="469">
        <f>M30*N30</f>
        <v>201600.00000000003</v>
      </c>
      <c r="P30" s="461"/>
      <c r="Q30" s="462">
        <f t="shared" si="9"/>
        <v>201600.00000000003</v>
      </c>
      <c r="R30" s="463" t="s">
        <v>1468</v>
      </c>
      <c r="S30" s="463" t="s">
        <v>1469</v>
      </c>
      <c r="T30" s="486">
        <v>180000</v>
      </c>
      <c r="U30" s="460"/>
      <c r="V30" s="460">
        <f t="shared" si="13"/>
        <v>180000</v>
      </c>
    </row>
    <row r="31" spans="1:22" s="464" customFormat="1" ht="25.5">
      <c r="A31" s="471" t="s">
        <v>1466</v>
      </c>
      <c r="B31" s="472" t="s">
        <v>1470</v>
      </c>
      <c r="C31" s="468">
        <v>2</v>
      </c>
      <c r="D31" s="469">
        <f>90000*1.12</f>
        <v>100800.00000000001</v>
      </c>
      <c r="E31" s="469">
        <f>C31*D31</f>
        <v>201600.00000000003</v>
      </c>
      <c r="F31" s="461"/>
      <c r="G31" s="462">
        <f t="shared" si="0"/>
        <v>201600.00000000003</v>
      </c>
      <c r="H31" s="468">
        <v>2</v>
      </c>
      <c r="I31" s="469">
        <f>90000*1.12</f>
        <v>100800.00000000001</v>
      </c>
      <c r="J31" s="469">
        <f>H31*I31</f>
        <v>201600.00000000003</v>
      </c>
      <c r="K31" s="461"/>
      <c r="L31" s="462">
        <f t="shared" si="8"/>
        <v>201600.00000000003</v>
      </c>
      <c r="M31" s="468">
        <v>2</v>
      </c>
      <c r="N31" s="469">
        <f>90000*1.12</f>
        <v>100800.00000000001</v>
      </c>
      <c r="O31" s="469">
        <f>M31*N31</f>
        <v>201600.00000000003</v>
      </c>
      <c r="P31" s="461"/>
      <c r="Q31" s="462">
        <f t="shared" si="9"/>
        <v>201600.00000000003</v>
      </c>
      <c r="R31" s="463" t="s">
        <v>1468</v>
      </c>
      <c r="S31" s="463" t="s">
        <v>1469</v>
      </c>
      <c r="T31" s="486">
        <v>180000</v>
      </c>
      <c r="U31" s="460"/>
      <c r="V31" s="460">
        <f t="shared" si="13"/>
        <v>180000</v>
      </c>
    </row>
    <row r="32" spans="1:22" s="464" customFormat="1" ht="25.5">
      <c r="A32" s="471" t="s">
        <v>1466</v>
      </c>
      <c r="B32" s="472" t="s">
        <v>1471</v>
      </c>
      <c r="C32" s="468"/>
      <c r="D32" s="469"/>
      <c r="E32" s="469"/>
      <c r="F32" s="461"/>
      <c r="G32" s="462"/>
      <c r="H32" s="468">
        <v>2</v>
      </c>
      <c r="I32" s="469">
        <f>90000*1.12</f>
        <v>100800.00000000001</v>
      </c>
      <c r="J32" s="469">
        <f>I32*H32</f>
        <v>201600.00000000003</v>
      </c>
      <c r="K32" s="461"/>
      <c r="L32" s="462">
        <f>J32</f>
        <v>201600.00000000003</v>
      </c>
      <c r="M32" s="468">
        <v>2</v>
      </c>
      <c r="N32" s="469">
        <v>151200</v>
      </c>
      <c r="O32" s="469">
        <f>N32*M32</f>
        <v>302400</v>
      </c>
      <c r="P32" s="461"/>
      <c r="Q32" s="462">
        <f t="shared" si="9"/>
        <v>302400</v>
      </c>
      <c r="R32" s="463" t="s">
        <v>1472</v>
      </c>
      <c r="S32" s="463" t="s">
        <v>1473</v>
      </c>
      <c r="T32" s="486">
        <v>197000</v>
      </c>
      <c r="U32" s="460"/>
      <c r="V32" s="460">
        <f t="shared" si="13"/>
        <v>197000</v>
      </c>
    </row>
    <row r="33" spans="1:22" s="464" customFormat="1" ht="25.5">
      <c r="A33" s="470" t="s">
        <v>1474</v>
      </c>
      <c r="B33" s="472" t="s">
        <v>1475</v>
      </c>
      <c r="C33" s="468">
        <v>1</v>
      </c>
      <c r="D33" s="469">
        <f>224000</f>
        <v>224000</v>
      </c>
      <c r="E33" s="469">
        <f>C33*D33</f>
        <v>224000</v>
      </c>
      <c r="F33" s="461"/>
      <c r="G33" s="462">
        <f t="shared" si="0"/>
        <v>224000</v>
      </c>
      <c r="H33" s="468">
        <v>1</v>
      </c>
      <c r="I33" s="469">
        <f>224000</f>
        <v>224000</v>
      </c>
      <c r="J33" s="469">
        <f>H33*I33</f>
        <v>224000</v>
      </c>
      <c r="K33" s="461"/>
      <c r="L33" s="462">
        <f t="shared" si="8"/>
        <v>224000</v>
      </c>
      <c r="M33" s="468">
        <v>1</v>
      </c>
      <c r="N33" s="469">
        <f>224000</f>
        <v>224000</v>
      </c>
      <c r="O33" s="469">
        <f>M33*N33</f>
        <v>224000</v>
      </c>
      <c r="P33" s="461"/>
      <c r="Q33" s="462">
        <f t="shared" si="9"/>
        <v>224000</v>
      </c>
      <c r="R33" s="463" t="s">
        <v>1460</v>
      </c>
      <c r="S33" s="463" t="s">
        <v>1476</v>
      </c>
      <c r="T33" s="486">
        <v>224000</v>
      </c>
      <c r="U33" s="460"/>
      <c r="V33" s="460">
        <f t="shared" si="13"/>
        <v>224000</v>
      </c>
    </row>
    <row r="34" spans="1:22" s="464" customFormat="1" ht="25.5">
      <c r="A34" s="470" t="s">
        <v>1477</v>
      </c>
      <c r="B34" s="472" t="s">
        <v>1478</v>
      </c>
      <c r="C34" s="473">
        <v>1</v>
      </c>
      <c r="D34" s="474">
        <f>95000*1.12</f>
        <v>106400.00000000001</v>
      </c>
      <c r="E34" s="460">
        <f>D34*C34</f>
        <v>106400.00000000001</v>
      </c>
      <c r="F34" s="461"/>
      <c r="G34" s="462">
        <f t="shared" si="0"/>
        <v>106400.00000000001</v>
      </c>
      <c r="H34" s="473">
        <v>1</v>
      </c>
      <c r="I34" s="474">
        <f>95000*1.12</f>
        <v>106400.00000000001</v>
      </c>
      <c r="J34" s="460">
        <f>I34*H34</f>
        <v>106400.00000000001</v>
      </c>
      <c r="K34" s="461"/>
      <c r="L34" s="462">
        <f t="shared" si="8"/>
        <v>106400.00000000001</v>
      </c>
      <c r="M34" s="473">
        <v>1</v>
      </c>
      <c r="N34" s="474">
        <f>95000*1.12</f>
        <v>106400.00000000001</v>
      </c>
      <c r="O34" s="460">
        <f>N34*M34</f>
        <v>106400.00000000001</v>
      </c>
      <c r="P34" s="461"/>
      <c r="Q34" s="462">
        <f t="shared" si="9"/>
        <v>106400.00000000001</v>
      </c>
      <c r="R34" s="463" t="s">
        <v>1434</v>
      </c>
      <c r="S34" s="463" t="s">
        <v>1479</v>
      </c>
      <c r="T34" s="486">
        <v>100228.8</v>
      </c>
      <c r="U34" s="460"/>
      <c r="V34" s="460">
        <f t="shared" si="13"/>
        <v>100228.8</v>
      </c>
    </row>
    <row r="35" spans="1:22" s="464" customFormat="1" ht="25.5">
      <c r="A35" s="470" t="s">
        <v>1480</v>
      </c>
      <c r="B35" s="470" t="s">
        <v>1481</v>
      </c>
      <c r="C35" s="475">
        <v>1</v>
      </c>
      <c r="D35" s="469">
        <v>262080</v>
      </c>
      <c r="E35" s="468">
        <f>C35*D35</f>
        <v>262080</v>
      </c>
      <c r="F35" s="461"/>
      <c r="G35" s="462">
        <f t="shared" si="0"/>
        <v>262080</v>
      </c>
      <c r="H35" s="475">
        <v>1</v>
      </c>
      <c r="I35" s="469">
        <v>262080</v>
      </c>
      <c r="J35" s="468">
        <f>H35*I35</f>
        <v>262080</v>
      </c>
      <c r="K35" s="461"/>
      <c r="L35" s="462">
        <f t="shared" si="8"/>
        <v>262080</v>
      </c>
      <c r="M35" s="475">
        <v>1</v>
      </c>
      <c r="N35" s="469">
        <v>262080</v>
      </c>
      <c r="O35" s="468">
        <f>M35*N35</f>
        <v>262080</v>
      </c>
      <c r="P35" s="461"/>
      <c r="Q35" s="462">
        <f t="shared" si="9"/>
        <v>262080</v>
      </c>
      <c r="R35" s="463" t="s">
        <v>1434</v>
      </c>
      <c r="S35" s="463" t="s">
        <v>1482</v>
      </c>
      <c r="T35" s="486">
        <v>229488</v>
      </c>
      <c r="U35" s="460"/>
      <c r="V35" s="460">
        <f t="shared" si="13"/>
        <v>229488</v>
      </c>
    </row>
    <row r="36" spans="1:22" s="464" customFormat="1">
      <c r="A36" s="470" t="s">
        <v>1483</v>
      </c>
      <c r="B36" s="459" t="s">
        <v>1484</v>
      </c>
      <c r="C36" s="475">
        <v>2</v>
      </c>
      <c r="D36" s="469">
        <v>61600</v>
      </c>
      <c r="E36" s="468">
        <f t="shared" ref="E36:E44" si="14">D36*C36</f>
        <v>123200</v>
      </c>
      <c r="F36" s="461"/>
      <c r="G36" s="462">
        <f t="shared" si="0"/>
        <v>123200</v>
      </c>
      <c r="H36" s="475">
        <v>2</v>
      </c>
      <c r="I36" s="469">
        <v>61600</v>
      </c>
      <c r="J36" s="468">
        <f t="shared" ref="J36:J44" si="15">I36*H36</f>
        <v>123200</v>
      </c>
      <c r="K36" s="461"/>
      <c r="L36" s="462">
        <f t="shared" si="8"/>
        <v>123200</v>
      </c>
      <c r="M36" s="475">
        <v>2</v>
      </c>
      <c r="N36" s="469">
        <v>61600</v>
      </c>
      <c r="O36" s="468">
        <f t="shared" ref="O36:O44" si="16">N36*M36</f>
        <v>123200</v>
      </c>
      <c r="P36" s="461"/>
      <c r="Q36" s="462">
        <f t="shared" si="9"/>
        <v>123200</v>
      </c>
      <c r="R36" s="461"/>
      <c r="S36" s="461"/>
      <c r="T36" s="486">
        <f>O36</f>
        <v>123200</v>
      </c>
      <c r="U36" s="460"/>
      <c r="V36" s="460">
        <f>Q36</f>
        <v>123200</v>
      </c>
    </row>
    <row r="37" spans="1:22" s="464" customFormat="1" ht="25.5">
      <c r="A37" s="465" t="s">
        <v>1485</v>
      </c>
      <c r="B37" s="465" t="s">
        <v>1486</v>
      </c>
      <c r="C37" s="466">
        <v>2</v>
      </c>
      <c r="D37" s="466">
        <v>50000</v>
      </c>
      <c r="E37" s="466">
        <f t="shared" si="14"/>
        <v>100000</v>
      </c>
      <c r="F37" s="467"/>
      <c r="G37" s="467">
        <f t="shared" si="0"/>
        <v>100000</v>
      </c>
      <c r="H37" s="466">
        <v>2</v>
      </c>
      <c r="I37" s="466">
        <v>50000</v>
      </c>
      <c r="J37" s="466">
        <f t="shared" si="15"/>
        <v>100000</v>
      </c>
      <c r="K37" s="467">
        <f>J37</f>
        <v>100000</v>
      </c>
      <c r="L37" s="467"/>
      <c r="M37" s="466"/>
      <c r="N37" s="466"/>
      <c r="O37" s="466"/>
      <c r="P37" s="467"/>
      <c r="Q37" s="467"/>
      <c r="R37" s="461"/>
      <c r="S37" s="461"/>
      <c r="T37" s="460"/>
      <c r="U37" s="460"/>
      <c r="V37" s="460"/>
    </row>
    <row r="38" spans="1:22" s="464" customFormat="1">
      <c r="A38" s="465" t="s">
        <v>1485</v>
      </c>
      <c r="B38" s="465" t="s">
        <v>1487</v>
      </c>
      <c r="C38" s="466">
        <v>2</v>
      </c>
      <c r="D38" s="466">
        <v>50000</v>
      </c>
      <c r="E38" s="466">
        <f t="shared" si="14"/>
        <v>100000</v>
      </c>
      <c r="F38" s="467"/>
      <c r="G38" s="467">
        <f t="shared" si="0"/>
        <v>100000</v>
      </c>
      <c r="H38" s="466">
        <v>2</v>
      </c>
      <c r="I38" s="466">
        <v>50000</v>
      </c>
      <c r="J38" s="466">
        <f t="shared" si="15"/>
        <v>100000</v>
      </c>
      <c r="K38" s="467">
        <f>J38</f>
        <v>100000</v>
      </c>
      <c r="L38" s="467"/>
      <c r="M38" s="466"/>
      <c r="N38" s="466"/>
      <c r="O38" s="466"/>
      <c r="P38" s="467"/>
      <c r="Q38" s="467"/>
      <c r="R38" s="461"/>
      <c r="S38" s="461"/>
      <c r="T38" s="460"/>
      <c r="U38" s="460"/>
      <c r="V38" s="460"/>
    </row>
    <row r="39" spans="1:22" s="464" customFormat="1">
      <c r="A39" s="470" t="s">
        <v>1488</v>
      </c>
      <c r="B39" s="459" t="s">
        <v>1489</v>
      </c>
      <c r="C39" s="475">
        <v>1</v>
      </c>
      <c r="D39" s="474">
        <f>155000*1.12</f>
        <v>173600.00000000003</v>
      </c>
      <c r="E39" s="460">
        <f t="shared" si="14"/>
        <v>173600.00000000003</v>
      </c>
      <c r="F39" s="461"/>
      <c r="G39" s="462">
        <f t="shared" si="0"/>
        <v>173600.00000000003</v>
      </c>
      <c r="H39" s="475">
        <v>1</v>
      </c>
      <c r="I39" s="474">
        <f>155000*1.12</f>
        <v>173600.00000000003</v>
      </c>
      <c r="J39" s="460">
        <f t="shared" si="15"/>
        <v>173600.00000000003</v>
      </c>
      <c r="K39" s="461"/>
      <c r="L39" s="462">
        <f t="shared" si="8"/>
        <v>173600.00000000003</v>
      </c>
      <c r="M39" s="475">
        <v>1</v>
      </c>
      <c r="N39" s="474">
        <f>155000*1.12</f>
        <v>173600.00000000003</v>
      </c>
      <c r="O39" s="460">
        <f t="shared" si="16"/>
        <v>173600.00000000003</v>
      </c>
      <c r="P39" s="461"/>
      <c r="Q39" s="462">
        <f t="shared" ref="Q39:Q47" si="17">O39</f>
        <v>173600.00000000003</v>
      </c>
      <c r="R39" s="461"/>
      <c r="S39" s="461"/>
      <c r="T39" s="460">
        <f>O39</f>
        <v>173600.00000000003</v>
      </c>
      <c r="U39" s="460"/>
      <c r="V39" s="460">
        <f>Q39</f>
        <v>173600.00000000003</v>
      </c>
    </row>
    <row r="40" spans="1:22" s="464" customFormat="1" ht="25.5">
      <c r="A40" s="470" t="s">
        <v>1490</v>
      </c>
      <c r="B40" s="459" t="s">
        <v>1491</v>
      </c>
      <c r="C40" s="473">
        <v>1</v>
      </c>
      <c r="D40" s="460">
        <f>133100*1.12</f>
        <v>149072</v>
      </c>
      <c r="E40" s="460">
        <f t="shared" si="14"/>
        <v>149072</v>
      </c>
      <c r="F40" s="461"/>
      <c r="G40" s="462">
        <f t="shared" si="0"/>
        <v>149072</v>
      </c>
      <c r="H40" s="473">
        <v>1</v>
      </c>
      <c r="I40" s="460">
        <f>133100*1.12</f>
        <v>149072</v>
      </c>
      <c r="J40" s="460">
        <f t="shared" si="15"/>
        <v>149072</v>
      </c>
      <c r="K40" s="461"/>
      <c r="L40" s="462">
        <f t="shared" si="8"/>
        <v>149072</v>
      </c>
      <c r="M40" s="473">
        <v>1</v>
      </c>
      <c r="N40" s="460">
        <f>133100*1.12</f>
        <v>149072</v>
      </c>
      <c r="O40" s="460">
        <f t="shared" si="16"/>
        <v>149072</v>
      </c>
      <c r="P40" s="461"/>
      <c r="Q40" s="462">
        <f t="shared" si="17"/>
        <v>149072</v>
      </c>
      <c r="R40" s="463" t="s">
        <v>1492</v>
      </c>
      <c r="S40" s="463" t="s">
        <v>1493</v>
      </c>
      <c r="T40" s="486">
        <v>117300</v>
      </c>
      <c r="U40" s="460"/>
      <c r="V40" s="460">
        <f t="shared" ref="V40:V44" si="18">T40</f>
        <v>117300</v>
      </c>
    </row>
    <row r="41" spans="1:22" s="464" customFormat="1" ht="63.75">
      <c r="A41" s="470" t="s">
        <v>1490</v>
      </c>
      <c r="B41" s="459" t="s">
        <v>1494</v>
      </c>
      <c r="C41" s="473">
        <v>1</v>
      </c>
      <c r="D41" s="460">
        <f>133100*1.12</f>
        <v>149072</v>
      </c>
      <c r="E41" s="460">
        <f t="shared" si="14"/>
        <v>149072</v>
      </c>
      <c r="F41" s="461"/>
      <c r="G41" s="462">
        <f t="shared" si="0"/>
        <v>149072</v>
      </c>
      <c r="H41" s="473">
        <v>1</v>
      </c>
      <c r="I41" s="460">
        <f>133100*1.12</f>
        <v>149072</v>
      </c>
      <c r="J41" s="460">
        <f t="shared" si="15"/>
        <v>149072</v>
      </c>
      <c r="K41" s="461"/>
      <c r="L41" s="462">
        <f t="shared" si="8"/>
        <v>149072</v>
      </c>
      <c r="M41" s="473">
        <v>1</v>
      </c>
      <c r="N41" s="460">
        <f>133100*1.12</f>
        <v>149072</v>
      </c>
      <c r="O41" s="460">
        <f t="shared" si="16"/>
        <v>149072</v>
      </c>
      <c r="P41" s="461"/>
      <c r="Q41" s="462">
        <f t="shared" si="17"/>
        <v>149072</v>
      </c>
      <c r="R41" s="463" t="s">
        <v>1495</v>
      </c>
      <c r="S41" s="463" t="s">
        <v>1496</v>
      </c>
      <c r="T41" s="486">
        <v>131490</v>
      </c>
      <c r="U41" s="460"/>
      <c r="V41" s="460">
        <f t="shared" si="18"/>
        <v>131490</v>
      </c>
    </row>
    <row r="42" spans="1:22" s="464" customFormat="1" ht="63.75">
      <c r="A42" s="470" t="s">
        <v>1490</v>
      </c>
      <c r="B42" s="459" t="s">
        <v>1497</v>
      </c>
      <c r="C42" s="473">
        <v>1</v>
      </c>
      <c r="D42" s="460">
        <f>196130*1.12</f>
        <v>219665.60000000003</v>
      </c>
      <c r="E42" s="460">
        <f t="shared" si="14"/>
        <v>219665.60000000003</v>
      </c>
      <c r="F42" s="461"/>
      <c r="G42" s="462">
        <f t="shared" si="0"/>
        <v>219665.60000000003</v>
      </c>
      <c r="H42" s="473">
        <v>1</v>
      </c>
      <c r="I42" s="460">
        <f>196130*1.12</f>
        <v>219665.60000000003</v>
      </c>
      <c r="J42" s="460">
        <f t="shared" si="15"/>
        <v>219665.60000000003</v>
      </c>
      <c r="K42" s="461"/>
      <c r="L42" s="462">
        <f t="shared" si="8"/>
        <v>219665.60000000003</v>
      </c>
      <c r="M42" s="473">
        <v>1</v>
      </c>
      <c r="N42" s="460">
        <f>196130*1.12</f>
        <v>219665.60000000003</v>
      </c>
      <c r="O42" s="460">
        <f t="shared" si="16"/>
        <v>219665.60000000003</v>
      </c>
      <c r="P42" s="461"/>
      <c r="Q42" s="462">
        <f t="shared" si="17"/>
        <v>219665.60000000003</v>
      </c>
      <c r="R42" s="463" t="s">
        <v>1495</v>
      </c>
      <c r="S42" s="463" t="s">
        <v>1498</v>
      </c>
      <c r="T42" s="486">
        <v>184990</v>
      </c>
      <c r="U42" s="460"/>
      <c r="V42" s="460">
        <f t="shared" si="18"/>
        <v>184990</v>
      </c>
    </row>
    <row r="43" spans="1:22" s="464" customFormat="1" ht="38.25">
      <c r="A43" s="470" t="s">
        <v>1490</v>
      </c>
      <c r="B43" s="459" t="s">
        <v>1499</v>
      </c>
      <c r="C43" s="473">
        <v>2</v>
      </c>
      <c r="D43" s="460">
        <f>196130*1.12</f>
        <v>219665.60000000003</v>
      </c>
      <c r="E43" s="460">
        <f t="shared" si="14"/>
        <v>439331.20000000007</v>
      </c>
      <c r="F43" s="461"/>
      <c r="G43" s="462">
        <f t="shared" si="0"/>
        <v>439331.20000000007</v>
      </c>
      <c r="H43" s="473">
        <v>2</v>
      </c>
      <c r="I43" s="460">
        <f>196130*1.12</f>
        <v>219665.60000000003</v>
      </c>
      <c r="J43" s="460">
        <f t="shared" si="15"/>
        <v>439331.20000000007</v>
      </c>
      <c r="K43" s="461"/>
      <c r="L43" s="462">
        <f t="shared" si="8"/>
        <v>439331.20000000007</v>
      </c>
      <c r="M43" s="473">
        <v>2</v>
      </c>
      <c r="N43" s="460">
        <f>196130*1.12</f>
        <v>219665.60000000003</v>
      </c>
      <c r="O43" s="460">
        <f t="shared" si="16"/>
        <v>439331.20000000007</v>
      </c>
      <c r="P43" s="461"/>
      <c r="Q43" s="462">
        <f t="shared" si="17"/>
        <v>439331.20000000007</v>
      </c>
      <c r="R43" s="463" t="s">
        <v>1500</v>
      </c>
      <c r="S43" s="463" t="s">
        <v>1501</v>
      </c>
      <c r="T43" s="486">
        <v>284990</v>
      </c>
      <c r="U43" s="460"/>
      <c r="V43" s="460">
        <f t="shared" si="18"/>
        <v>284990</v>
      </c>
    </row>
    <row r="44" spans="1:22" s="464" customFormat="1" ht="25.5">
      <c r="A44" s="470" t="s">
        <v>1490</v>
      </c>
      <c r="B44" s="459" t="s">
        <v>1502</v>
      </c>
      <c r="C44" s="473">
        <v>1</v>
      </c>
      <c r="D44" s="460">
        <f>200000*1.12</f>
        <v>224000.00000000003</v>
      </c>
      <c r="E44" s="460">
        <f t="shared" si="14"/>
        <v>224000.00000000003</v>
      </c>
      <c r="F44" s="461"/>
      <c r="G44" s="462">
        <f t="shared" si="0"/>
        <v>224000.00000000003</v>
      </c>
      <c r="H44" s="473">
        <v>1</v>
      </c>
      <c r="I44" s="460">
        <f>200000*1.12</f>
        <v>224000.00000000003</v>
      </c>
      <c r="J44" s="460">
        <f t="shared" si="15"/>
        <v>224000.00000000003</v>
      </c>
      <c r="K44" s="461"/>
      <c r="L44" s="462">
        <f t="shared" si="8"/>
        <v>224000.00000000003</v>
      </c>
      <c r="M44" s="473">
        <v>1</v>
      </c>
      <c r="N44" s="460">
        <f>200000*1.12</f>
        <v>224000.00000000003</v>
      </c>
      <c r="O44" s="460">
        <f t="shared" si="16"/>
        <v>224000.00000000003</v>
      </c>
      <c r="P44" s="461"/>
      <c r="Q44" s="462">
        <f t="shared" si="17"/>
        <v>224000.00000000003</v>
      </c>
      <c r="R44" s="463" t="s">
        <v>1500</v>
      </c>
      <c r="S44" s="463" t="s">
        <v>1501</v>
      </c>
      <c r="T44" s="486">
        <v>178990</v>
      </c>
      <c r="U44" s="460"/>
      <c r="V44" s="460">
        <f t="shared" si="18"/>
        <v>178990</v>
      </c>
    </row>
    <row r="45" spans="1:22" s="464" customFormat="1">
      <c r="A45" s="470" t="s">
        <v>1503</v>
      </c>
      <c r="B45" s="459" t="s">
        <v>1504</v>
      </c>
      <c r="C45" s="473"/>
      <c r="D45" s="460"/>
      <c r="E45" s="460"/>
      <c r="F45" s="461"/>
      <c r="G45" s="462"/>
      <c r="H45" s="473">
        <v>2</v>
      </c>
      <c r="I45" s="460">
        <v>72800</v>
      </c>
      <c r="J45" s="460">
        <f>I45*H45</f>
        <v>145600</v>
      </c>
      <c r="K45" s="461"/>
      <c r="L45" s="462">
        <f t="shared" si="8"/>
        <v>145600</v>
      </c>
      <c r="M45" s="473">
        <v>2</v>
      </c>
      <c r="N45" s="460">
        <v>72800</v>
      </c>
      <c r="O45" s="460">
        <f>N45*M45</f>
        <v>145600</v>
      </c>
      <c r="P45" s="461"/>
      <c r="Q45" s="462">
        <f t="shared" si="17"/>
        <v>145600</v>
      </c>
      <c r="R45" s="461"/>
      <c r="S45" s="461"/>
      <c r="T45" s="486">
        <f t="shared" ref="T45:T47" si="19">O45</f>
        <v>145600</v>
      </c>
      <c r="U45" s="460"/>
      <c r="V45" s="460">
        <f>Q45</f>
        <v>145600</v>
      </c>
    </row>
    <row r="46" spans="1:22" s="464" customFormat="1">
      <c r="A46" s="470" t="s">
        <v>1503</v>
      </c>
      <c r="B46" s="459" t="s">
        <v>1505</v>
      </c>
      <c r="C46" s="473"/>
      <c r="D46" s="460"/>
      <c r="E46" s="460"/>
      <c r="F46" s="461"/>
      <c r="G46" s="462"/>
      <c r="H46" s="473">
        <v>2</v>
      </c>
      <c r="I46" s="460">
        <v>106400</v>
      </c>
      <c r="J46" s="460">
        <f>I46*H46</f>
        <v>212800</v>
      </c>
      <c r="K46" s="461"/>
      <c r="L46" s="462">
        <f t="shared" si="8"/>
        <v>212800</v>
      </c>
      <c r="M46" s="473">
        <v>2</v>
      </c>
      <c r="N46" s="460">
        <v>106400</v>
      </c>
      <c r="O46" s="460">
        <f>N46*M46</f>
        <v>212800</v>
      </c>
      <c r="P46" s="461"/>
      <c r="Q46" s="462">
        <f t="shared" si="17"/>
        <v>212800</v>
      </c>
      <c r="R46" s="461"/>
      <c r="S46" s="461"/>
      <c r="T46" s="486">
        <f t="shared" si="19"/>
        <v>212800</v>
      </c>
      <c r="U46" s="460"/>
      <c r="V46" s="460">
        <f t="shared" ref="V46:V47" si="20">Q46</f>
        <v>212800</v>
      </c>
    </row>
    <row r="47" spans="1:22" s="464" customFormat="1">
      <c r="A47" s="470" t="s">
        <v>1503</v>
      </c>
      <c r="B47" s="459" t="s">
        <v>1506</v>
      </c>
      <c r="C47" s="473"/>
      <c r="D47" s="460"/>
      <c r="E47" s="460"/>
      <c r="F47" s="461"/>
      <c r="G47" s="462"/>
      <c r="H47" s="473">
        <v>1</v>
      </c>
      <c r="I47" s="460">
        <v>235200</v>
      </c>
      <c r="J47" s="460">
        <f>I47*H47</f>
        <v>235200</v>
      </c>
      <c r="K47" s="461"/>
      <c r="L47" s="462">
        <f t="shared" si="8"/>
        <v>235200</v>
      </c>
      <c r="M47" s="473">
        <v>1</v>
      </c>
      <c r="N47" s="460">
        <v>235200</v>
      </c>
      <c r="O47" s="460">
        <f>N47*M47</f>
        <v>235200</v>
      </c>
      <c r="P47" s="461"/>
      <c r="Q47" s="462">
        <f t="shared" si="17"/>
        <v>235200</v>
      </c>
      <c r="R47" s="461"/>
      <c r="S47" s="461"/>
      <c r="T47" s="486">
        <f t="shared" si="19"/>
        <v>235200</v>
      </c>
      <c r="U47" s="460"/>
      <c r="V47" s="460">
        <f t="shared" si="20"/>
        <v>235200</v>
      </c>
    </row>
    <row r="48" spans="1:22" ht="15">
      <c r="A48" s="476"/>
      <c r="B48" s="477"/>
      <c r="C48" s="478">
        <f>SUM(C6:C44)</f>
        <v>105</v>
      </c>
      <c r="D48" s="477"/>
      <c r="E48" s="478">
        <f>SUM(E6:E44)</f>
        <v>12502363.199999999</v>
      </c>
      <c r="F48" s="478">
        <f t="shared" ref="F48:G48" si="21">SUM(F6:F44)</f>
        <v>3494400.0000000005</v>
      </c>
      <c r="G48" s="478">
        <f t="shared" si="21"/>
        <v>9007963.1999999993</v>
      </c>
      <c r="H48" s="478">
        <f>SUM(H6:H47)</f>
        <v>330</v>
      </c>
      <c r="I48" s="477"/>
      <c r="J48" s="478">
        <f>SUM(J6:J47)</f>
        <v>26012923.199999999</v>
      </c>
      <c r="K48" s="479">
        <f>SUM(K6:K47)</f>
        <v>11433600</v>
      </c>
      <c r="L48" s="479">
        <f>SUM(L6:L47)</f>
        <v>14579323.199999999</v>
      </c>
      <c r="M48" s="478">
        <f>SUM(M6:M47)</f>
        <v>182</v>
      </c>
      <c r="N48" s="477"/>
      <c r="O48" s="478">
        <f>SUM(O6:O47)</f>
        <v>19731322.800000001</v>
      </c>
      <c r="P48" s="478">
        <f>SUM(P6:P47)</f>
        <v>7100800</v>
      </c>
      <c r="Q48" s="478">
        <f>SUM(Q6:Q47)</f>
        <v>12630522.799999999</v>
      </c>
      <c r="R48" s="477"/>
      <c r="S48" s="477"/>
      <c r="T48" s="478">
        <f>SUM(T6:T47)</f>
        <v>14491448.800000001</v>
      </c>
      <c r="U48" s="479">
        <f>SUM(U6:U47)</f>
        <v>4697490</v>
      </c>
      <c r="V48" s="479">
        <f>SUM(V6:V47)</f>
        <v>9793958.8000000007</v>
      </c>
    </row>
    <row r="49" spans="2:21">
      <c r="C49" s="481"/>
      <c r="H49" s="481"/>
    </row>
    <row r="50" spans="2:21">
      <c r="E50" s="481"/>
      <c r="J50" s="481"/>
      <c r="T50" s="487">
        <f>T48-T39</f>
        <v>14317848.800000001</v>
      </c>
    </row>
    <row r="51" spans="2:21">
      <c r="E51" s="481"/>
      <c r="J51" s="481"/>
    </row>
    <row r="52" spans="2:21">
      <c r="E52" s="481"/>
      <c r="J52" s="481"/>
      <c r="U52" s="437"/>
    </row>
    <row r="55" spans="2:21">
      <c r="B55" s="484"/>
    </row>
    <row r="56" spans="2:21">
      <c r="E56" s="481"/>
      <c r="F56" s="438" t="s">
        <v>1069</v>
      </c>
      <c r="J56" s="481"/>
      <c r="K56" s="438" t="s">
        <v>1069</v>
      </c>
    </row>
    <row r="60" spans="2:21">
      <c r="E60" s="481"/>
      <c r="J60" s="481"/>
    </row>
  </sheetData>
  <mergeCells count="11">
    <mergeCell ref="M4:Q4"/>
    <mergeCell ref="A1:E1"/>
    <mergeCell ref="A4:A5"/>
    <mergeCell ref="B4:B5"/>
    <mergeCell ref="C4:G4"/>
    <mergeCell ref="H4:L4"/>
    <mergeCell ref="R4:R5"/>
    <mergeCell ref="S4:S5"/>
    <mergeCell ref="T4:T5"/>
    <mergeCell ref="U4:U5"/>
    <mergeCell ref="V4:V5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7" workbookViewId="0">
      <selection activeCell="Q31" sqref="Q31"/>
    </sheetView>
  </sheetViews>
  <sheetFormatPr defaultRowHeight="15" outlineLevelRow="1"/>
  <cols>
    <col min="1" max="1" width="64.140625" customWidth="1"/>
    <col min="2" max="2" width="13.140625" customWidth="1"/>
    <col min="3" max="8" width="11.28515625" hidden="1" customWidth="1"/>
    <col min="9" max="9" width="12" hidden="1" customWidth="1"/>
    <col min="10" max="10" width="11.28515625" hidden="1" customWidth="1"/>
    <col min="11" max="16" width="14.85546875" hidden="1" customWidth="1"/>
    <col min="17" max="17" width="14.85546875" customWidth="1"/>
    <col min="18" max="18" width="14.85546875" bestFit="1" customWidth="1"/>
  </cols>
  <sheetData>
    <row r="1" spans="1:20">
      <c r="A1" s="410" t="s">
        <v>1207</v>
      </c>
      <c r="B1" s="410"/>
      <c r="C1" s="410"/>
      <c r="D1" s="410"/>
      <c r="E1" s="410"/>
      <c r="F1" s="410"/>
      <c r="G1" s="410"/>
      <c r="H1" s="410"/>
      <c r="I1" s="410"/>
      <c r="J1" s="410"/>
      <c r="K1" s="411"/>
      <c r="L1" s="411"/>
      <c r="M1" s="411"/>
      <c r="N1" s="411"/>
      <c r="O1" s="411"/>
      <c r="P1" s="411"/>
      <c r="Q1" s="411"/>
      <c r="R1" s="411"/>
      <c r="S1" s="411"/>
      <c r="T1" s="411"/>
    </row>
    <row r="2" spans="1:20" ht="31.5">
      <c r="A2" s="412" t="s">
        <v>1369</v>
      </c>
      <c r="B2" s="412"/>
      <c r="C2" s="412"/>
      <c r="D2" s="412"/>
      <c r="E2" s="412"/>
      <c r="F2" s="412"/>
      <c r="G2" s="412"/>
      <c r="H2" s="412"/>
      <c r="I2" s="412"/>
      <c r="J2" s="412"/>
      <c r="K2" s="411"/>
      <c r="L2" s="411"/>
      <c r="M2" s="411"/>
      <c r="N2" s="411"/>
      <c r="O2" s="411"/>
      <c r="P2" s="411"/>
      <c r="Q2" s="411"/>
      <c r="R2" s="411"/>
      <c r="S2" s="411"/>
      <c r="T2" s="411"/>
    </row>
    <row r="3" spans="1:20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</row>
    <row r="4" spans="1:20">
      <c r="A4" s="413" t="s">
        <v>1209</v>
      </c>
      <c r="B4" s="413"/>
      <c r="C4" s="413"/>
      <c r="D4" s="413"/>
      <c r="E4" s="413"/>
      <c r="F4" s="413"/>
      <c r="G4" s="413"/>
      <c r="H4" s="413"/>
      <c r="I4" s="413"/>
      <c r="J4" s="413"/>
      <c r="K4" s="411"/>
      <c r="L4" s="411"/>
      <c r="M4" s="411"/>
      <c r="N4" s="411"/>
      <c r="O4" s="411"/>
      <c r="P4" s="411"/>
      <c r="Q4" s="411"/>
      <c r="R4" s="411"/>
      <c r="S4" s="411"/>
      <c r="T4" s="411"/>
    </row>
    <row r="5" spans="1:20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</row>
    <row r="6" spans="1:20" ht="15" customHeight="1">
      <c r="A6" s="414" t="s">
        <v>1210</v>
      </c>
      <c r="B6" s="372" t="s">
        <v>1076</v>
      </c>
      <c r="C6" s="372" t="s">
        <v>1211</v>
      </c>
      <c r="D6" s="372" t="s">
        <v>1212</v>
      </c>
      <c r="E6" s="372" t="s">
        <v>1213</v>
      </c>
      <c r="F6" s="372" t="s">
        <v>1214</v>
      </c>
      <c r="G6" s="372" t="s">
        <v>1215</v>
      </c>
      <c r="H6" s="372" t="s">
        <v>1216</v>
      </c>
      <c r="I6" s="372" t="s">
        <v>1217</v>
      </c>
      <c r="J6" s="372" t="s">
        <v>1218</v>
      </c>
      <c r="K6" s="414" t="s">
        <v>1219</v>
      </c>
      <c r="L6" s="371"/>
      <c r="M6" s="372"/>
      <c r="N6" s="372"/>
      <c r="O6" s="372"/>
      <c r="P6" s="372"/>
      <c r="Q6" s="372"/>
      <c r="R6" s="414"/>
      <c r="S6" s="539" t="s">
        <v>1220</v>
      </c>
      <c r="T6" s="539"/>
    </row>
    <row r="7" spans="1:20">
      <c r="A7" s="540" t="s">
        <v>1221</v>
      </c>
      <c r="B7" s="373"/>
      <c r="C7" s="373"/>
      <c r="D7" s="373"/>
      <c r="E7" s="373"/>
      <c r="F7" s="373"/>
      <c r="G7" s="373"/>
      <c r="H7" s="373"/>
      <c r="I7" s="373"/>
      <c r="J7" s="373"/>
      <c r="K7" s="540" t="s">
        <v>1222</v>
      </c>
      <c r="L7" s="374"/>
      <c r="M7" s="373" t="s">
        <v>1223</v>
      </c>
      <c r="N7" s="373" t="s">
        <v>1224</v>
      </c>
      <c r="O7" s="373" t="s">
        <v>1225</v>
      </c>
      <c r="P7" s="373" t="s">
        <v>1226</v>
      </c>
      <c r="Q7" s="373" t="s">
        <v>1068</v>
      </c>
      <c r="R7" s="540" t="s">
        <v>1228</v>
      </c>
      <c r="S7" s="540" t="s">
        <v>1222</v>
      </c>
      <c r="T7" s="540" t="s">
        <v>1228</v>
      </c>
    </row>
    <row r="8" spans="1:20">
      <c r="A8" s="541"/>
      <c r="B8" s="415"/>
      <c r="C8" s="415"/>
      <c r="D8" s="415"/>
      <c r="E8" s="415"/>
      <c r="F8" s="415"/>
      <c r="G8" s="415"/>
      <c r="H8" s="415"/>
      <c r="I8" s="415"/>
      <c r="J8" s="415"/>
      <c r="K8" s="541"/>
      <c r="L8" s="415"/>
      <c r="M8" s="415"/>
      <c r="N8" s="415"/>
      <c r="O8" s="415"/>
      <c r="P8" s="415"/>
      <c r="Q8" s="415"/>
      <c r="R8" s="541"/>
      <c r="S8" s="541"/>
      <c r="T8" s="541"/>
    </row>
    <row r="9" spans="1:20">
      <c r="A9" s="416" t="s">
        <v>1370</v>
      </c>
      <c r="B9" s="416"/>
      <c r="C9" s="416"/>
      <c r="D9" s="416"/>
      <c r="E9" s="416"/>
      <c r="F9" s="416"/>
      <c r="G9" s="416"/>
      <c r="H9" s="416"/>
      <c r="I9" s="416"/>
      <c r="J9" s="416"/>
      <c r="K9" s="417">
        <v>5703142872.2299995</v>
      </c>
      <c r="L9" s="417"/>
      <c r="M9" s="417"/>
      <c r="N9" s="417"/>
      <c r="O9" s="417"/>
      <c r="P9" s="417"/>
      <c r="Q9" s="417"/>
      <c r="R9" s="417">
        <v>5703142872.2299995</v>
      </c>
      <c r="S9" s="418"/>
      <c r="T9" s="418"/>
    </row>
    <row r="10" spans="1:20">
      <c r="A10" s="419" t="s">
        <v>1230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20"/>
      <c r="L10" s="420"/>
      <c r="M10" s="420"/>
      <c r="N10" s="420"/>
      <c r="O10" s="420"/>
      <c r="P10" s="420"/>
      <c r="Q10" s="420"/>
      <c r="R10" s="421">
        <v>5703142872.2299995</v>
      </c>
      <c r="S10" s="420"/>
      <c r="T10" s="420"/>
    </row>
    <row r="11" spans="1:20">
      <c r="A11" s="422" t="s">
        <v>1231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21">
        <v>333101919</v>
      </c>
      <c r="L11" s="421"/>
      <c r="M11" s="421"/>
      <c r="N11" s="421"/>
      <c r="O11" s="421"/>
      <c r="P11" s="421"/>
      <c r="Q11" s="421"/>
      <c r="R11" s="420"/>
      <c r="S11" s="420"/>
      <c r="T11" s="420"/>
    </row>
    <row r="12" spans="1:20">
      <c r="A12" s="422" t="s">
        <v>1232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21">
        <v>59500000</v>
      </c>
      <c r="L12" s="421"/>
      <c r="M12" s="421"/>
      <c r="N12" s="421"/>
      <c r="O12" s="421"/>
      <c r="P12" s="421"/>
      <c r="Q12" s="421"/>
      <c r="R12" s="420"/>
      <c r="S12" s="420"/>
      <c r="T12" s="420"/>
    </row>
    <row r="13" spans="1:20">
      <c r="A13" s="422" t="s">
        <v>1233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21">
        <v>94621771</v>
      </c>
      <c r="L13" s="421"/>
      <c r="M13" s="421"/>
      <c r="N13" s="421"/>
      <c r="O13" s="421"/>
      <c r="P13" s="421"/>
      <c r="Q13" s="421"/>
      <c r="R13" s="420"/>
      <c r="S13" s="420"/>
      <c r="T13" s="420"/>
    </row>
    <row r="14" spans="1:20">
      <c r="A14" s="422" t="s">
        <v>1234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21">
        <v>99355480</v>
      </c>
      <c r="L14" s="421"/>
      <c r="M14" s="421"/>
      <c r="N14" s="421"/>
      <c r="O14" s="421"/>
      <c r="P14" s="421"/>
      <c r="Q14" s="421"/>
      <c r="R14" s="420"/>
      <c r="S14" s="420"/>
      <c r="T14" s="420"/>
    </row>
    <row r="15" spans="1:20">
      <c r="A15" s="422" t="s">
        <v>1235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21">
        <v>132304665</v>
      </c>
      <c r="L15" s="421"/>
      <c r="M15" s="421"/>
      <c r="N15" s="421"/>
      <c r="O15" s="421"/>
      <c r="P15" s="421"/>
      <c r="Q15" s="421"/>
      <c r="R15" s="420"/>
      <c r="S15" s="420"/>
      <c r="T15" s="420"/>
    </row>
    <row r="16" spans="1:20">
      <c r="A16" s="422" t="s">
        <v>1236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21">
        <v>60200000</v>
      </c>
      <c r="L16" s="421"/>
      <c r="M16" s="421"/>
      <c r="N16" s="421"/>
      <c r="O16" s="421"/>
      <c r="P16" s="421"/>
      <c r="Q16" s="421"/>
      <c r="R16" s="420"/>
      <c r="S16" s="420"/>
      <c r="T16" s="420"/>
    </row>
    <row r="17" spans="1:20">
      <c r="A17" s="422" t="s">
        <v>1237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21">
        <v>60200000</v>
      </c>
      <c r="L17" s="421"/>
      <c r="M17" s="421"/>
      <c r="N17" s="421"/>
      <c r="O17" s="421"/>
      <c r="P17" s="421"/>
      <c r="Q17" s="421"/>
      <c r="R17" s="420"/>
      <c r="S17" s="420"/>
      <c r="T17" s="420"/>
    </row>
    <row r="18" spans="1:20">
      <c r="A18" s="422" t="s">
        <v>1238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21">
        <v>15764292</v>
      </c>
      <c r="L18" s="421"/>
      <c r="M18" s="421"/>
      <c r="N18" s="421"/>
      <c r="O18" s="421"/>
      <c r="P18" s="421"/>
      <c r="Q18" s="421"/>
      <c r="R18" s="420"/>
      <c r="S18" s="420"/>
      <c r="T18" s="420"/>
    </row>
    <row r="19" spans="1:20">
      <c r="A19" s="419" t="s">
        <v>1371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23">
        <v>160952505.16999999</v>
      </c>
      <c r="L19" s="423"/>
      <c r="M19" s="423"/>
      <c r="N19" s="423"/>
      <c r="O19" s="423"/>
      <c r="P19" s="423"/>
      <c r="Q19" s="423"/>
      <c r="R19" s="420"/>
      <c r="S19" s="420"/>
      <c r="T19" s="420"/>
    </row>
    <row r="20" spans="1:20">
      <c r="A20" s="419" t="s">
        <v>1372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23">
        <v>2657007.36</v>
      </c>
      <c r="L20" s="423"/>
      <c r="M20" s="423"/>
      <c r="N20" s="423"/>
      <c r="O20" s="423"/>
      <c r="P20" s="423"/>
      <c r="Q20" s="423"/>
      <c r="R20" s="420"/>
      <c r="S20" s="420"/>
      <c r="T20" s="420"/>
    </row>
    <row r="21" spans="1:20">
      <c r="A21" s="419" t="s">
        <v>1373</v>
      </c>
      <c r="B21" s="419"/>
      <c r="C21" s="419"/>
      <c r="D21" s="419"/>
      <c r="E21" s="419"/>
      <c r="F21" s="419"/>
      <c r="G21" s="419"/>
      <c r="H21" s="419"/>
      <c r="I21" s="419"/>
      <c r="J21" s="419"/>
      <c r="K21" s="423">
        <v>9642442.3900000006</v>
      </c>
      <c r="L21" s="423"/>
      <c r="M21" s="423"/>
      <c r="N21" s="423"/>
      <c r="O21" s="423"/>
      <c r="P21" s="423"/>
      <c r="Q21" s="423"/>
      <c r="R21" s="420"/>
      <c r="S21" s="420"/>
      <c r="T21" s="420"/>
    </row>
    <row r="22" spans="1:20">
      <c r="A22" s="419" t="s">
        <v>1256</v>
      </c>
      <c r="B22" s="419"/>
      <c r="C22" s="381">
        <f>SUM(C23:C24)</f>
        <v>0</v>
      </c>
      <c r="D22" s="381">
        <f t="shared" ref="D22:J22" si="0">SUM(D23:D24)</f>
        <v>0</v>
      </c>
      <c r="E22" s="381">
        <f t="shared" si="0"/>
        <v>169000</v>
      </c>
      <c r="F22" s="381">
        <f t="shared" si="0"/>
        <v>0</v>
      </c>
      <c r="G22" s="381">
        <f t="shared" si="0"/>
        <v>338000</v>
      </c>
      <c r="H22" s="381">
        <f t="shared" si="0"/>
        <v>169000</v>
      </c>
      <c r="I22" s="381">
        <f t="shared" si="0"/>
        <v>169000</v>
      </c>
      <c r="J22" s="381">
        <f t="shared" si="0"/>
        <v>335195.5</v>
      </c>
      <c r="K22" s="421">
        <v>1180195.5</v>
      </c>
      <c r="L22" s="382">
        <f>K22-C22-D22-E22-F22-G22-H22-I22-J22</f>
        <v>0</v>
      </c>
      <c r="M22" s="381">
        <f t="shared" ref="M22" si="1">SUM(M23:M24)</f>
        <v>0</v>
      </c>
      <c r="N22" s="381">
        <f t="shared" ref="N22:Q22" si="2">SUM(N23:N24)</f>
        <v>0</v>
      </c>
      <c r="O22" s="381">
        <f t="shared" si="2"/>
        <v>0</v>
      </c>
      <c r="P22" s="381">
        <f t="shared" si="2"/>
        <v>0</v>
      </c>
      <c r="Q22" s="381">
        <f t="shared" si="2"/>
        <v>1180195.5</v>
      </c>
      <c r="R22" s="420"/>
      <c r="S22" s="420"/>
      <c r="T22" s="420"/>
    </row>
    <row r="23" spans="1:20" ht="36" outlineLevel="1">
      <c r="A23" s="386" t="s">
        <v>1258</v>
      </c>
      <c r="B23" s="387">
        <f>3718000/2</f>
        <v>1859000</v>
      </c>
      <c r="C23" s="419"/>
      <c r="D23" s="419"/>
      <c r="E23" s="387">
        <v>169000</v>
      </c>
      <c r="F23" s="387"/>
      <c r="G23" s="387">
        <v>338000</v>
      </c>
      <c r="H23" s="387">
        <v>169000</v>
      </c>
      <c r="I23" s="387">
        <v>169000</v>
      </c>
      <c r="J23" s="387">
        <v>169000</v>
      </c>
      <c r="K23" s="387">
        <f t="shared" ref="K23:K27" si="3">SUM(C23:J23)</f>
        <v>1014000</v>
      </c>
      <c r="L23" s="388">
        <f>K23-C23-D23-E23-F23-G23-H23-I23-J23</f>
        <v>0</v>
      </c>
      <c r="M23" s="421"/>
      <c r="N23" s="421"/>
      <c r="O23" s="421"/>
      <c r="P23" s="421"/>
      <c r="Q23" s="387">
        <f>K23+M23+N23+O23+P23</f>
        <v>1014000</v>
      </c>
      <c r="R23" s="420"/>
      <c r="S23" s="420"/>
      <c r="T23" s="420"/>
    </row>
    <row r="24" spans="1:20" ht="36" outlineLevel="1">
      <c r="A24" s="386" t="s">
        <v>1266</v>
      </c>
      <c r="B24" s="387">
        <f>3091200/2</f>
        <v>1545600</v>
      </c>
      <c r="C24" s="419"/>
      <c r="D24" s="419"/>
      <c r="E24" s="419"/>
      <c r="F24" s="419"/>
      <c r="G24" s="419"/>
      <c r="H24" s="419"/>
      <c r="I24" s="419"/>
      <c r="J24" s="387">
        <v>166195.5</v>
      </c>
      <c r="K24" s="387">
        <f t="shared" si="3"/>
        <v>166195.5</v>
      </c>
      <c r="L24" s="388">
        <f t="shared" ref="L24" si="4">K24-C24-D24-E24-F24-G24-H24-I24-J24</f>
        <v>0</v>
      </c>
      <c r="M24" s="421"/>
      <c r="N24" s="421"/>
      <c r="O24" s="421"/>
      <c r="P24" s="421"/>
      <c r="Q24" s="387">
        <f>K24+M24+N24+O24+P24</f>
        <v>166195.5</v>
      </c>
      <c r="R24" s="420"/>
      <c r="S24" s="420"/>
      <c r="T24" s="420"/>
    </row>
    <row r="25" spans="1:20">
      <c r="A25" s="419" t="s">
        <v>1269</v>
      </c>
      <c r="B25" s="419"/>
      <c r="C25" s="381">
        <f>SUM(C26:C27)</f>
        <v>6409551.1999999993</v>
      </c>
      <c r="D25" s="381">
        <f t="shared" ref="D25:J25" si="5">SUM(D26:D27)</f>
        <v>6409551.1999999993</v>
      </c>
      <c r="E25" s="381">
        <f t="shared" si="5"/>
        <v>6409551.1999999993</v>
      </c>
      <c r="F25" s="381">
        <f t="shared" si="5"/>
        <v>6409551.1999999993</v>
      </c>
      <c r="G25" s="381">
        <f t="shared" si="5"/>
        <v>6409551.1999999993</v>
      </c>
      <c r="H25" s="381">
        <f t="shared" si="5"/>
        <v>6409551.1999999993</v>
      </c>
      <c r="I25" s="381">
        <f t="shared" si="5"/>
        <v>6409551.1999999993</v>
      </c>
      <c r="J25" s="381">
        <f t="shared" si="5"/>
        <v>6409551.1999999993</v>
      </c>
      <c r="K25" s="421">
        <v>51276409.600000001</v>
      </c>
      <c r="L25" s="382">
        <f>K25-C25-D25-E25-F25-G25-H25-I25-J25</f>
        <v>7.4505805969238281E-9</v>
      </c>
      <c r="M25" s="381">
        <f t="shared" ref="M25" si="6">SUM(M26:M27)</f>
        <v>6409551.1999999993</v>
      </c>
      <c r="N25" s="381">
        <f t="shared" ref="N25:Q25" si="7">SUM(N26:N27)</f>
        <v>6409551.1999999993</v>
      </c>
      <c r="O25" s="381">
        <f t="shared" si="7"/>
        <v>6409551.1999999993</v>
      </c>
      <c r="P25" s="381">
        <f t="shared" si="7"/>
        <v>6409551.1999999993</v>
      </c>
      <c r="Q25" s="408">
        <f t="shared" si="7"/>
        <v>76914614.399999991</v>
      </c>
      <c r="R25" s="420"/>
      <c r="S25" s="420"/>
      <c r="T25" s="420"/>
    </row>
    <row r="26" spans="1:20" ht="24" outlineLevel="1">
      <c r="A26" s="386" t="s">
        <v>1270</v>
      </c>
      <c r="B26" s="387">
        <f>172416000*42.38/100</f>
        <v>73069900.799999997</v>
      </c>
      <c r="C26" s="387">
        <f>$B$26/12</f>
        <v>6089158.3999999994</v>
      </c>
      <c r="D26" s="387">
        <f t="shared" ref="D26:J26" si="8">$B$26/12</f>
        <v>6089158.3999999994</v>
      </c>
      <c r="E26" s="387">
        <f t="shared" si="8"/>
        <v>6089158.3999999994</v>
      </c>
      <c r="F26" s="387">
        <f t="shared" si="8"/>
        <v>6089158.3999999994</v>
      </c>
      <c r="G26" s="387">
        <f t="shared" si="8"/>
        <v>6089158.3999999994</v>
      </c>
      <c r="H26" s="387">
        <f t="shared" si="8"/>
        <v>6089158.3999999994</v>
      </c>
      <c r="I26" s="387">
        <f t="shared" si="8"/>
        <v>6089158.3999999994</v>
      </c>
      <c r="J26" s="387">
        <f t="shared" si="8"/>
        <v>6089158.3999999994</v>
      </c>
      <c r="K26" s="387">
        <f t="shared" si="3"/>
        <v>48713267.199999996</v>
      </c>
      <c r="L26" s="388">
        <f>K26-C26-D26-E26-F26-G26-H26-I26-J26</f>
        <v>0</v>
      </c>
      <c r="M26" s="387">
        <f t="shared" ref="M26:P26" si="9">$B$26/12</f>
        <v>6089158.3999999994</v>
      </c>
      <c r="N26" s="387">
        <f t="shared" si="9"/>
        <v>6089158.3999999994</v>
      </c>
      <c r="O26" s="387">
        <f t="shared" si="9"/>
        <v>6089158.3999999994</v>
      </c>
      <c r="P26" s="387">
        <f t="shared" si="9"/>
        <v>6089158.3999999994</v>
      </c>
      <c r="Q26" s="409">
        <f>K26+M26+N26+O26+P26</f>
        <v>73069900.799999997</v>
      </c>
      <c r="R26" s="420"/>
      <c r="S26" s="420"/>
      <c r="T26" s="420"/>
    </row>
    <row r="27" spans="1:20" ht="24" outlineLevel="1">
      <c r="A27" s="386" t="s">
        <v>1271</v>
      </c>
      <c r="B27" s="387">
        <f>9072000*42.38/100</f>
        <v>3844713.6</v>
      </c>
      <c r="C27" s="387">
        <f>$B$27/12</f>
        <v>320392.8</v>
      </c>
      <c r="D27" s="387">
        <f t="shared" ref="D27:J27" si="10">$B$27/12</f>
        <v>320392.8</v>
      </c>
      <c r="E27" s="387">
        <f t="shared" si="10"/>
        <v>320392.8</v>
      </c>
      <c r="F27" s="387">
        <f t="shared" si="10"/>
        <v>320392.8</v>
      </c>
      <c r="G27" s="387">
        <f t="shared" si="10"/>
        <v>320392.8</v>
      </c>
      <c r="H27" s="387">
        <f t="shared" si="10"/>
        <v>320392.8</v>
      </c>
      <c r="I27" s="387">
        <f t="shared" si="10"/>
        <v>320392.8</v>
      </c>
      <c r="J27" s="387">
        <f t="shared" si="10"/>
        <v>320392.8</v>
      </c>
      <c r="K27" s="387">
        <f t="shared" si="3"/>
        <v>2563142.4</v>
      </c>
      <c r="L27" s="388">
        <f t="shared" ref="L27" si="11">K27-C27-D27-E27-F27-G27-H27-I27-J27</f>
        <v>0</v>
      </c>
      <c r="M27" s="387">
        <f t="shared" ref="M27:P27" si="12">$B$27/12</f>
        <v>320392.8</v>
      </c>
      <c r="N27" s="387">
        <f t="shared" si="12"/>
        <v>320392.8</v>
      </c>
      <c r="O27" s="387">
        <f t="shared" si="12"/>
        <v>320392.8</v>
      </c>
      <c r="P27" s="387">
        <f t="shared" si="12"/>
        <v>320392.8</v>
      </c>
      <c r="Q27" s="409">
        <f>K27+M27+N27+O27+P27</f>
        <v>3844713.5999999992</v>
      </c>
      <c r="R27" s="420"/>
      <c r="S27" s="420"/>
      <c r="T27" s="420"/>
    </row>
    <row r="28" spans="1:20" ht="24">
      <c r="A28" s="419" t="s">
        <v>1374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21">
        <v>11012175.98</v>
      </c>
      <c r="L28" s="421"/>
      <c r="M28" s="421"/>
      <c r="N28" s="421"/>
      <c r="O28" s="421"/>
      <c r="P28" s="421"/>
      <c r="Q28" s="421"/>
      <c r="R28" s="420"/>
      <c r="S28" s="420"/>
      <c r="T28" s="420"/>
    </row>
    <row r="29" spans="1:20">
      <c r="A29" s="419" t="s">
        <v>1275</v>
      </c>
      <c r="B29" s="419"/>
      <c r="C29" s="419"/>
      <c r="D29" s="419"/>
      <c r="E29" s="419"/>
      <c r="F29" s="419"/>
      <c r="G29" s="419"/>
      <c r="H29" s="419"/>
      <c r="I29" s="419"/>
      <c r="J29" s="419"/>
      <c r="K29" s="421">
        <v>690000</v>
      </c>
      <c r="L29" s="421"/>
      <c r="M29" s="421"/>
      <c r="N29" s="421"/>
      <c r="O29" s="421"/>
      <c r="P29" s="421"/>
      <c r="Q29" s="421"/>
      <c r="R29" s="420"/>
      <c r="S29" s="420"/>
      <c r="T29" s="420"/>
    </row>
    <row r="30" spans="1:20" ht="24">
      <c r="A30" s="419" t="s">
        <v>1310</v>
      </c>
      <c r="B30" s="419"/>
      <c r="C30" s="381">
        <f t="shared" ref="C30:J30" si="13">SUM(C31)</f>
        <v>0</v>
      </c>
      <c r="D30" s="381">
        <f t="shared" si="13"/>
        <v>0</v>
      </c>
      <c r="E30" s="381">
        <f t="shared" si="13"/>
        <v>36256.94</v>
      </c>
      <c r="F30" s="381">
        <f t="shared" si="13"/>
        <v>0</v>
      </c>
      <c r="G30" s="381">
        <f t="shared" si="13"/>
        <v>0</v>
      </c>
      <c r="H30" s="381">
        <f t="shared" si="13"/>
        <v>0</v>
      </c>
      <c r="I30" s="381">
        <f t="shared" si="13"/>
        <v>227249.81</v>
      </c>
      <c r="J30" s="381">
        <f t="shared" si="13"/>
        <v>0</v>
      </c>
      <c r="K30" s="421">
        <v>263506.75</v>
      </c>
      <c r="L30" s="382">
        <f>K30-C30-D30-E30-F30-G30-H30-I30-J30</f>
        <v>0</v>
      </c>
      <c r="M30" s="381">
        <f>SUM(M31)</f>
        <v>0</v>
      </c>
      <c r="N30" s="381">
        <f t="shared" ref="N30:Q30" si="14">SUM(N31)</f>
        <v>0</v>
      </c>
      <c r="O30" s="381">
        <f t="shared" si="14"/>
        <v>0</v>
      </c>
      <c r="P30" s="381">
        <f t="shared" si="14"/>
        <v>0</v>
      </c>
      <c r="Q30" s="381">
        <f t="shared" si="14"/>
        <v>263506.75</v>
      </c>
      <c r="R30" s="420"/>
      <c r="S30" s="420"/>
      <c r="T30" s="420"/>
    </row>
    <row r="31" spans="1:20" ht="24" outlineLevel="1">
      <c r="A31" s="386" t="s">
        <v>1375</v>
      </c>
      <c r="B31" s="387">
        <v>15700000</v>
      </c>
      <c r="C31" s="419"/>
      <c r="D31" s="419"/>
      <c r="E31" s="387">
        <v>36256.94</v>
      </c>
      <c r="F31" s="387"/>
      <c r="G31" s="387"/>
      <c r="H31" s="387"/>
      <c r="I31" s="387">
        <v>227249.81</v>
      </c>
      <c r="J31" s="387"/>
      <c r="K31" s="387">
        <f t="shared" ref="K31" si="15">SUM(C31:J31)</f>
        <v>263506.75</v>
      </c>
      <c r="L31" s="388">
        <f t="shared" ref="L31" si="16">K31-C31-D31-E31-F31-G31-H31-I31-J31</f>
        <v>0</v>
      </c>
      <c r="M31" s="421"/>
      <c r="N31" s="421"/>
      <c r="O31" s="421"/>
      <c r="P31" s="421"/>
      <c r="Q31" s="387">
        <f>K31+M31+N31+O31+P31</f>
        <v>263506.75</v>
      </c>
      <c r="R31" s="420"/>
      <c r="S31" s="420"/>
      <c r="T31" s="420"/>
    </row>
    <row r="32" spans="1:20">
      <c r="A32" s="419" t="s">
        <v>1376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21">
        <v>29590.37</v>
      </c>
      <c r="L32" s="421"/>
      <c r="M32" s="421"/>
      <c r="N32" s="421"/>
      <c r="O32" s="421"/>
      <c r="P32" s="421"/>
      <c r="Q32" s="421"/>
      <c r="R32" s="420"/>
      <c r="S32" s="420"/>
      <c r="T32" s="420"/>
    </row>
    <row r="33" spans="1:20">
      <c r="A33" s="419" t="s">
        <v>1377</v>
      </c>
      <c r="B33" s="419"/>
      <c r="C33" s="419"/>
      <c r="D33" s="419"/>
      <c r="E33" s="419"/>
      <c r="F33" s="419"/>
      <c r="G33" s="419"/>
      <c r="H33" s="419"/>
      <c r="I33" s="419"/>
      <c r="J33" s="419"/>
      <c r="K33" s="424">
        <v>4513023978.9099998</v>
      </c>
      <c r="L33" s="424"/>
      <c r="M33" s="424"/>
      <c r="N33" s="424"/>
      <c r="O33" s="424"/>
      <c r="P33" s="424"/>
      <c r="Q33" s="424"/>
      <c r="R33" s="420"/>
      <c r="S33" s="420"/>
      <c r="T33" s="420"/>
    </row>
    <row r="34" spans="1:20">
      <c r="A34" s="419" t="s">
        <v>1339</v>
      </c>
      <c r="B34" s="419"/>
      <c r="C34" s="419"/>
      <c r="D34" s="419"/>
      <c r="E34" s="419"/>
      <c r="F34" s="419"/>
      <c r="G34" s="419"/>
      <c r="H34" s="419"/>
      <c r="I34" s="419"/>
      <c r="J34" s="419"/>
      <c r="K34" s="423">
        <v>10583319.65</v>
      </c>
      <c r="L34" s="423"/>
      <c r="M34" s="423"/>
      <c r="N34" s="423"/>
      <c r="O34" s="423"/>
      <c r="P34" s="423"/>
      <c r="Q34" s="423"/>
      <c r="R34" s="420"/>
      <c r="S34" s="420"/>
      <c r="T34" s="420"/>
    </row>
    <row r="35" spans="1:20">
      <c r="A35" s="419" t="s">
        <v>1345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21">
        <v>12382049</v>
      </c>
      <c r="L35" s="421"/>
      <c r="M35" s="421"/>
      <c r="N35" s="421"/>
      <c r="O35" s="421"/>
      <c r="P35" s="421"/>
      <c r="Q35" s="421"/>
      <c r="R35" s="420"/>
      <c r="S35" s="420"/>
      <c r="T35" s="420"/>
    </row>
    <row r="36" spans="1:20">
      <c r="A36" s="419" t="s">
        <v>1351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21">
        <v>3051600</v>
      </c>
      <c r="L36" s="421"/>
      <c r="M36" s="421"/>
      <c r="N36" s="421"/>
      <c r="O36" s="421"/>
      <c r="P36" s="421"/>
      <c r="Q36" s="421"/>
      <c r="R36" s="420"/>
      <c r="S36" s="420"/>
      <c r="T36" s="420"/>
    </row>
    <row r="37" spans="1:20">
      <c r="A37" s="419" t="s">
        <v>1378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23">
        <v>1453.55</v>
      </c>
      <c r="L37" s="423"/>
      <c r="M37" s="423"/>
      <c r="N37" s="423"/>
      <c r="O37" s="423"/>
      <c r="P37" s="423"/>
      <c r="Q37" s="423"/>
      <c r="R37" s="420"/>
      <c r="S37" s="420"/>
      <c r="T37" s="420"/>
    </row>
    <row r="38" spans="1:20">
      <c r="A38" s="419" t="s">
        <v>1355</v>
      </c>
      <c r="B38" s="419"/>
      <c r="C38" s="419"/>
      <c r="D38" s="419"/>
      <c r="E38" s="419"/>
      <c r="F38" s="419"/>
      <c r="G38" s="419"/>
      <c r="H38" s="419"/>
      <c r="I38" s="419"/>
      <c r="J38" s="419"/>
      <c r="K38" s="421">
        <v>1036633</v>
      </c>
      <c r="L38" s="421"/>
      <c r="M38" s="421"/>
      <c r="N38" s="421"/>
      <c r="O38" s="421"/>
      <c r="P38" s="421"/>
      <c r="Q38" s="421"/>
      <c r="R38" s="420"/>
      <c r="S38" s="420"/>
      <c r="T38" s="420"/>
    </row>
    <row r="39" spans="1:20">
      <c r="A39" s="419" t="s">
        <v>1359</v>
      </c>
      <c r="B39" s="419"/>
      <c r="C39" s="419"/>
      <c r="D39" s="419"/>
      <c r="E39" s="419"/>
      <c r="F39" s="419"/>
      <c r="G39" s="419"/>
      <c r="H39" s="419"/>
      <c r="I39" s="419"/>
      <c r="J39" s="419"/>
      <c r="K39" s="421">
        <v>11009501</v>
      </c>
      <c r="L39" s="421"/>
      <c r="M39" s="421"/>
      <c r="N39" s="421"/>
      <c r="O39" s="421"/>
      <c r="P39" s="421"/>
      <c r="Q39" s="421"/>
      <c r="R39" s="420"/>
      <c r="S39" s="420"/>
      <c r="T39" s="420"/>
    </row>
    <row r="40" spans="1:20">
      <c r="A40" s="419" t="s">
        <v>1360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21">
        <v>57825777</v>
      </c>
      <c r="L40" s="421"/>
      <c r="M40" s="421"/>
      <c r="N40" s="421"/>
      <c r="O40" s="421"/>
      <c r="P40" s="421"/>
      <c r="Q40" s="421"/>
      <c r="R40" s="420"/>
      <c r="S40" s="420"/>
      <c r="T40" s="420"/>
    </row>
    <row r="41" spans="1:20">
      <c r="A41" s="419" t="s">
        <v>1361</v>
      </c>
      <c r="B41" s="419"/>
      <c r="C41" s="419"/>
      <c r="D41" s="419"/>
      <c r="E41" s="419"/>
      <c r="F41" s="419"/>
      <c r="G41" s="419"/>
      <c r="H41" s="419"/>
      <c r="I41" s="419"/>
      <c r="J41" s="419"/>
      <c r="K41" s="421">
        <v>1476600</v>
      </c>
      <c r="L41" s="421"/>
      <c r="M41" s="421"/>
      <c r="N41" s="421"/>
      <c r="O41" s="421"/>
      <c r="P41" s="421"/>
      <c r="Q41" s="421"/>
      <c r="R41" s="420"/>
      <c r="S41" s="420"/>
      <c r="T41" s="420"/>
    </row>
    <row r="42" spans="1:20">
      <c r="A42" s="425" t="s">
        <v>1368</v>
      </c>
      <c r="B42" s="425"/>
      <c r="C42" s="425"/>
      <c r="D42" s="425"/>
      <c r="E42" s="425"/>
      <c r="F42" s="425"/>
      <c r="G42" s="425"/>
      <c r="H42" s="425"/>
      <c r="I42" s="425"/>
      <c r="J42" s="425"/>
      <c r="K42" s="426">
        <v>5703142872.2299995</v>
      </c>
      <c r="L42" s="426"/>
      <c r="M42" s="426"/>
      <c r="N42" s="426"/>
      <c r="O42" s="426"/>
      <c r="P42" s="426"/>
      <c r="Q42" s="426"/>
      <c r="R42" s="426">
        <v>5703142872.2299995</v>
      </c>
      <c r="S42" s="427"/>
      <c r="T42" s="427"/>
    </row>
    <row r="43" spans="1:20">
      <c r="A43" s="411"/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</row>
  </sheetData>
  <mergeCells count="6">
    <mergeCell ref="S6:T6"/>
    <mergeCell ref="A7:A8"/>
    <mergeCell ref="K7:K8"/>
    <mergeCell ref="R7:R8"/>
    <mergeCell ref="S7:S8"/>
    <mergeCell ref="T7:T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3"/>
  <sheetViews>
    <sheetView topLeftCell="B1" workbookViewId="0">
      <selection activeCell="C29" sqref="C29"/>
    </sheetView>
  </sheetViews>
  <sheetFormatPr defaultRowHeight="12.75"/>
  <cols>
    <col min="1" max="1" width="51.28515625" style="438" customWidth="1"/>
    <col min="2" max="2" width="13.7109375" style="438" customWidth="1"/>
    <col min="3" max="3" width="14.140625" style="438" customWidth="1"/>
    <col min="4" max="5" width="12.28515625" style="447" customWidth="1"/>
    <col min="6" max="6" width="27.28515625" style="438" customWidth="1"/>
    <col min="7" max="7" width="14.7109375" style="437" customWidth="1"/>
    <col min="8" max="8" width="9.42578125" style="438" customWidth="1"/>
    <col min="9" max="9" width="12.7109375" style="437" customWidth="1"/>
    <col min="10" max="11" width="12.28515625" style="438" customWidth="1"/>
    <col min="12" max="12" width="14.5703125" style="438" customWidth="1"/>
    <col min="13" max="13" width="12.42578125" style="438" bestFit="1" customWidth="1"/>
    <col min="14" max="14" width="11.28515625" style="438" bestFit="1" customWidth="1"/>
    <col min="15" max="16384" width="9.140625" style="438"/>
  </cols>
  <sheetData>
    <row r="1" spans="1:15" s="430" customFormat="1" ht="38.25">
      <c r="A1" s="428" t="s">
        <v>1379</v>
      </c>
      <c r="B1" s="428" t="s">
        <v>1380</v>
      </c>
      <c r="C1" s="428" t="s">
        <v>1222</v>
      </c>
      <c r="D1" s="428" t="s">
        <v>1228</v>
      </c>
      <c r="E1" s="428" t="s">
        <v>1381</v>
      </c>
      <c r="F1" s="428" t="s">
        <v>1382</v>
      </c>
      <c r="G1" s="429" t="s">
        <v>1383</v>
      </c>
      <c r="H1" s="428" t="s">
        <v>1384</v>
      </c>
      <c r="I1" s="429" t="s">
        <v>1385</v>
      </c>
      <c r="J1" s="428" t="s">
        <v>1386</v>
      </c>
      <c r="K1" s="428" t="s">
        <v>1387</v>
      </c>
      <c r="L1" s="428" t="s">
        <v>1388</v>
      </c>
      <c r="M1" s="428" t="s">
        <v>1389</v>
      </c>
    </row>
    <row r="2" spans="1:15" hidden="1">
      <c r="A2" s="431" t="s">
        <v>1298</v>
      </c>
      <c r="B2" s="432">
        <v>21814.19</v>
      </c>
      <c r="C2" s="433"/>
      <c r="D2" s="434">
        <v>21814.19</v>
      </c>
      <c r="E2" s="435"/>
      <c r="F2" s="433"/>
      <c r="G2" s="436">
        <v>21814.19</v>
      </c>
      <c r="H2" s="436"/>
      <c r="I2" s="436"/>
      <c r="J2" s="436"/>
      <c r="K2" s="436"/>
      <c r="L2" s="436"/>
      <c r="M2" s="436"/>
      <c r="N2" s="437"/>
    </row>
    <row r="3" spans="1:15" ht="25.5" hidden="1">
      <c r="A3" s="431" t="s">
        <v>1305</v>
      </c>
      <c r="B3" s="432">
        <v>2314.9299999999998</v>
      </c>
      <c r="C3" s="433"/>
      <c r="D3" s="434">
        <v>2314.9299999999998</v>
      </c>
      <c r="E3" s="435"/>
      <c r="F3" s="433"/>
      <c r="G3" s="436">
        <v>2314.9299999999998</v>
      </c>
      <c r="H3" s="436"/>
      <c r="I3" s="436"/>
      <c r="J3" s="436"/>
      <c r="K3" s="436"/>
      <c r="L3" s="436"/>
      <c r="M3" s="436"/>
      <c r="N3" s="437"/>
    </row>
    <row r="4" spans="1:15" ht="25.5">
      <c r="A4" s="431" t="s">
        <v>1305</v>
      </c>
      <c r="B4" s="433"/>
      <c r="C4" s="448">
        <v>12000</v>
      </c>
      <c r="D4" s="434">
        <v>7675.2</v>
      </c>
      <c r="E4" s="434">
        <v>4324.8</v>
      </c>
      <c r="F4" s="439" t="s">
        <v>1390</v>
      </c>
      <c r="G4" s="436"/>
      <c r="H4" s="436">
        <v>6.6679799999999991</v>
      </c>
      <c r="I4" s="436">
        <v>1007.2200000000003</v>
      </c>
      <c r="J4" s="436">
        <f>I4*3</f>
        <v>3021.6600000000008</v>
      </c>
      <c r="K4" s="436"/>
      <c r="L4" s="436">
        <f>D4+J4</f>
        <v>10696.86</v>
      </c>
      <c r="M4" s="436">
        <f>C4-L4</f>
        <v>1303.1399999999994</v>
      </c>
    </row>
    <row r="5" spans="1:15" hidden="1">
      <c r="A5" s="431" t="s">
        <v>1391</v>
      </c>
      <c r="B5" s="432">
        <v>77650.34</v>
      </c>
      <c r="C5" s="433"/>
      <c r="D5" s="434">
        <v>26087.58</v>
      </c>
      <c r="E5" s="434">
        <v>51562.76</v>
      </c>
      <c r="F5" s="433"/>
      <c r="G5" s="436">
        <v>34783.440000000002</v>
      </c>
      <c r="H5" s="436"/>
      <c r="I5" s="436"/>
      <c r="J5" s="436"/>
      <c r="K5" s="436"/>
      <c r="L5" s="436"/>
      <c r="M5" s="436">
        <f>B5-G5</f>
        <v>42866.899999999994</v>
      </c>
    </row>
    <row r="6" spans="1:15" hidden="1">
      <c r="A6" s="431" t="s">
        <v>1392</v>
      </c>
      <c r="B6" s="432">
        <v>82975.429999999993</v>
      </c>
      <c r="C6" s="433"/>
      <c r="D6" s="434">
        <v>82975.429999999993</v>
      </c>
      <c r="E6" s="435"/>
      <c r="F6" s="433"/>
      <c r="G6" s="436">
        <v>82975.429999999993</v>
      </c>
      <c r="H6" s="436"/>
      <c r="I6" s="436"/>
      <c r="J6" s="436"/>
      <c r="K6" s="436"/>
      <c r="L6" s="436"/>
      <c r="M6" s="436"/>
      <c r="N6" s="437"/>
    </row>
    <row r="7" spans="1:15">
      <c r="A7" s="431" t="s">
        <v>1392</v>
      </c>
      <c r="B7" s="433"/>
      <c r="C7" s="448">
        <v>747040</v>
      </c>
      <c r="D7" s="434">
        <v>439762.71</v>
      </c>
      <c r="E7" s="434">
        <v>307277.28999999998</v>
      </c>
      <c r="F7" s="159" t="s">
        <v>1393</v>
      </c>
      <c r="G7" s="436"/>
      <c r="H7" s="436">
        <v>6.0596120689655164</v>
      </c>
      <c r="I7" s="436">
        <v>62531.660000000033</v>
      </c>
      <c r="J7" s="436">
        <f>I7*3</f>
        <v>187594.9800000001</v>
      </c>
      <c r="K7" s="436"/>
      <c r="L7" s="436">
        <f>D7+J7</f>
        <v>627357.69000000018</v>
      </c>
      <c r="M7" s="436">
        <f>C7-L7</f>
        <v>119682.30999999982</v>
      </c>
      <c r="N7" s="437">
        <f>D7-'[2]172 август'!$E$12</f>
        <v>62531.660000000033</v>
      </c>
    </row>
    <row r="8" spans="1:15" hidden="1">
      <c r="A8" s="431" t="s">
        <v>1394</v>
      </c>
      <c r="B8" s="432">
        <v>2172513.2400000002</v>
      </c>
      <c r="C8" s="433"/>
      <c r="D8" s="434">
        <v>2172513.2400000002</v>
      </c>
      <c r="E8" s="435"/>
      <c r="F8" s="433"/>
      <c r="G8" s="436">
        <v>2172513.2400000002</v>
      </c>
      <c r="H8" s="436"/>
      <c r="I8" s="436"/>
      <c r="J8" s="436"/>
      <c r="K8" s="436"/>
      <c r="L8" s="436"/>
      <c r="M8" s="436"/>
      <c r="N8" s="437"/>
    </row>
    <row r="9" spans="1:15" ht="25.5">
      <c r="A9" s="431" t="s">
        <v>1395</v>
      </c>
      <c r="B9" s="433"/>
      <c r="C9" s="448">
        <v>9654400</v>
      </c>
      <c r="D9" s="434">
        <v>4661737.1100000003</v>
      </c>
      <c r="E9" s="434">
        <v>4992662.8899999997</v>
      </c>
      <c r="F9" s="159" t="s">
        <v>1396</v>
      </c>
      <c r="G9" s="436"/>
      <c r="H9" s="436">
        <v>4.7928464990056341</v>
      </c>
      <c r="I9" s="436">
        <v>805732.34000000032</v>
      </c>
      <c r="J9" s="436">
        <f t="shared" ref="J9" si="0">I9*3</f>
        <v>2417197.0200000009</v>
      </c>
      <c r="K9" s="436"/>
      <c r="L9" s="436">
        <f>D9+J9</f>
        <v>7078934.1300000008</v>
      </c>
      <c r="M9" s="436">
        <f>C9-L9</f>
        <v>2575465.8699999992</v>
      </c>
    </row>
    <row r="10" spans="1:15" ht="25.5">
      <c r="A10" s="431" t="s">
        <v>1397</v>
      </c>
      <c r="B10" s="433"/>
      <c r="C10" s="448">
        <v>35700</v>
      </c>
      <c r="D10" s="434">
        <v>22833.79</v>
      </c>
      <c r="E10" s="434">
        <v>12866.21</v>
      </c>
      <c r="F10" s="439" t="s">
        <v>1390</v>
      </c>
      <c r="G10" s="436"/>
      <c r="H10" s="436">
        <v>6.6680000000000001</v>
      </c>
      <c r="I10" s="436">
        <v>2996.4900000000016</v>
      </c>
      <c r="J10" s="436">
        <f>I10*3</f>
        <v>8989.4700000000048</v>
      </c>
      <c r="K10" s="436"/>
      <c r="L10" s="440">
        <f>D10+J10</f>
        <v>31823.260000000006</v>
      </c>
      <c r="M10" s="436">
        <f>C10-L10</f>
        <v>3876.7399999999943</v>
      </c>
      <c r="O10" s="438" t="s">
        <v>1069</v>
      </c>
    </row>
    <row r="11" spans="1:15" hidden="1">
      <c r="A11" s="431" t="s">
        <v>1398</v>
      </c>
      <c r="B11" s="432">
        <v>82402.05</v>
      </c>
      <c r="C11" s="433"/>
      <c r="D11" s="434">
        <v>82402.05</v>
      </c>
      <c r="E11" s="435"/>
      <c r="F11" s="433"/>
      <c r="G11" s="436">
        <v>82402.05</v>
      </c>
      <c r="H11" s="436"/>
      <c r="I11" s="436"/>
      <c r="J11" s="436"/>
      <c r="K11" s="436"/>
      <c r="L11" s="436"/>
      <c r="M11" s="436"/>
      <c r="N11" s="437"/>
    </row>
    <row r="12" spans="1:15" ht="38.25">
      <c r="A12" s="431" t="s">
        <v>1398</v>
      </c>
      <c r="B12" s="433"/>
      <c r="C12" s="448">
        <v>4631323.2</v>
      </c>
      <c r="D12" s="434">
        <v>2701605.2</v>
      </c>
      <c r="E12" s="434">
        <v>1929718</v>
      </c>
      <c r="F12" s="439" t="s">
        <v>1399</v>
      </c>
      <c r="G12" s="436"/>
      <c r="H12" s="436">
        <v>6</v>
      </c>
      <c r="I12" s="436">
        <v>385943.60000000009</v>
      </c>
      <c r="J12" s="436">
        <f>I12*3</f>
        <v>1157830.8000000003</v>
      </c>
      <c r="K12" s="436"/>
      <c r="L12" s="436">
        <f>D12+J12</f>
        <v>3859436.0000000005</v>
      </c>
      <c r="M12" s="436">
        <f>C12-L12</f>
        <v>771887.19999999972</v>
      </c>
      <c r="N12" s="441" t="s">
        <v>1069</v>
      </c>
    </row>
    <row r="13" spans="1:15" hidden="1">
      <c r="A13" s="431" t="s">
        <v>1400</v>
      </c>
      <c r="B13" s="432">
        <v>2555509.12</v>
      </c>
      <c r="C13" s="433"/>
      <c r="D13" s="434">
        <v>2555509.12</v>
      </c>
      <c r="E13" s="435"/>
      <c r="F13" s="433"/>
      <c r="G13" s="436">
        <v>2555509.12</v>
      </c>
      <c r="H13" s="436"/>
      <c r="I13" s="436"/>
      <c r="J13" s="436"/>
      <c r="K13" s="436"/>
      <c r="L13" s="436"/>
      <c r="M13" s="436"/>
      <c r="N13" s="437"/>
    </row>
    <row r="14" spans="1:15" ht="25.5">
      <c r="A14" s="431" t="s">
        <v>1400</v>
      </c>
      <c r="B14" s="433"/>
      <c r="C14" s="448">
        <v>7076160</v>
      </c>
      <c r="D14" s="434">
        <v>3842147.47</v>
      </c>
      <c r="E14" s="434">
        <v>3234012.53</v>
      </c>
      <c r="F14" s="159" t="s">
        <v>1401</v>
      </c>
      <c r="G14" s="436"/>
      <c r="H14" s="436">
        <v>5.5171385836385829</v>
      </c>
      <c r="I14" s="436">
        <v>588801.19000000041</v>
      </c>
      <c r="J14" s="436">
        <f>I14*3</f>
        <v>1766403.5700000012</v>
      </c>
      <c r="K14" s="436"/>
      <c r="L14" s="436">
        <f>D14+J14</f>
        <v>5608551.040000001</v>
      </c>
      <c r="M14" s="436">
        <f>C14-L14</f>
        <v>1467608.959999999</v>
      </c>
    </row>
    <row r="15" spans="1:15" ht="25.5" hidden="1">
      <c r="A15" s="431" t="s">
        <v>1402</v>
      </c>
      <c r="B15" s="432">
        <v>422663.87</v>
      </c>
      <c r="C15" s="433"/>
      <c r="D15" s="434">
        <v>422663.87</v>
      </c>
      <c r="E15" s="435"/>
      <c r="F15" s="433"/>
      <c r="G15" s="436">
        <v>422663.87</v>
      </c>
      <c r="H15" s="436"/>
      <c r="I15" s="436"/>
      <c r="J15" s="436"/>
      <c r="K15" s="436"/>
      <c r="L15" s="436"/>
      <c r="M15" s="436"/>
      <c r="N15" s="437"/>
    </row>
    <row r="16" spans="1:15" ht="24">
      <c r="A16" s="442" t="s">
        <v>1402</v>
      </c>
      <c r="B16" s="443"/>
      <c r="C16" s="449">
        <v>1266944</v>
      </c>
      <c r="D16" s="434">
        <v>179893.75</v>
      </c>
      <c r="E16" s="434">
        <v>1087050.25</v>
      </c>
      <c r="F16" s="444" t="s">
        <v>1403</v>
      </c>
      <c r="G16" s="436"/>
      <c r="H16" s="436">
        <v>1</v>
      </c>
      <c r="I16" s="436">
        <v>93790.76</v>
      </c>
      <c r="J16" s="436">
        <f>K16*3</f>
        <v>316736</v>
      </c>
      <c r="K16" s="436">
        <f>C16/12</f>
        <v>105578.66666666667</v>
      </c>
      <c r="L16" s="440">
        <f>D16+J16</f>
        <v>496629.75</v>
      </c>
      <c r="M16" s="436">
        <f>C16-L16</f>
        <v>770314.25</v>
      </c>
    </row>
    <row r="17" spans="1:16" ht="25.5" hidden="1">
      <c r="A17" s="431" t="s">
        <v>1404</v>
      </c>
      <c r="B17" s="432">
        <v>276377.95</v>
      </c>
      <c r="C17" s="433"/>
      <c r="D17" s="434">
        <v>276377.95</v>
      </c>
      <c r="E17" s="435"/>
      <c r="F17" s="433"/>
      <c r="G17" s="436">
        <v>276377.95</v>
      </c>
      <c r="H17" s="436"/>
      <c r="I17" s="436"/>
      <c r="J17" s="436"/>
      <c r="K17" s="436"/>
      <c r="L17" s="436"/>
      <c r="M17" s="436"/>
      <c r="N17" s="437"/>
    </row>
    <row r="18" spans="1:16" ht="25.5">
      <c r="A18" s="431" t="s">
        <v>1404</v>
      </c>
      <c r="B18" s="432"/>
      <c r="C18" s="449">
        <v>537376</v>
      </c>
      <c r="D18" s="434">
        <v>13178.16</v>
      </c>
      <c r="E18" s="434">
        <v>524197.84</v>
      </c>
      <c r="F18" s="444" t="s">
        <v>1403</v>
      </c>
      <c r="G18" s="436"/>
      <c r="H18" s="436">
        <v>1</v>
      </c>
      <c r="I18" s="436">
        <v>13178.16</v>
      </c>
      <c r="J18" s="436">
        <f>K18*3</f>
        <v>134344</v>
      </c>
      <c r="K18" s="436">
        <f>C18/12</f>
        <v>44781.333333333336</v>
      </c>
      <c r="L18" s="440">
        <f>D18+J18</f>
        <v>147522.16</v>
      </c>
      <c r="M18" s="436">
        <f>C18-L18</f>
        <v>389853.83999999997</v>
      </c>
    </row>
    <row r="19" spans="1:16" ht="25.5" hidden="1">
      <c r="A19" s="431" t="s">
        <v>1344</v>
      </c>
      <c r="B19" s="432">
        <v>789064.4</v>
      </c>
      <c r="C19" s="433"/>
      <c r="D19" s="434">
        <v>789064.4</v>
      </c>
      <c r="E19" s="435"/>
      <c r="F19" s="433"/>
      <c r="G19" s="436">
        <v>789064.4</v>
      </c>
      <c r="H19" s="436"/>
      <c r="I19" s="436"/>
      <c r="J19" s="436"/>
      <c r="K19" s="436"/>
      <c r="L19" s="436"/>
      <c r="M19" s="436"/>
      <c r="N19" s="437"/>
    </row>
    <row r="20" spans="1:16" ht="25.5">
      <c r="A20" s="431" t="s">
        <v>1344</v>
      </c>
      <c r="B20" s="433"/>
      <c r="C20" s="448">
        <v>2228800</v>
      </c>
      <c r="D20" s="434">
        <v>359309.58</v>
      </c>
      <c r="E20" s="434">
        <v>1869490.42</v>
      </c>
      <c r="F20" s="159" t="s">
        <v>1190</v>
      </c>
      <c r="G20" s="436"/>
      <c r="H20" s="436">
        <v>0.96</v>
      </c>
      <c r="I20" s="436">
        <v>181005.58000000002</v>
      </c>
      <c r="J20" s="436">
        <f>K20*3</f>
        <v>557200</v>
      </c>
      <c r="K20" s="436">
        <f>C20/12</f>
        <v>185733.33333333334</v>
      </c>
      <c r="L20" s="440">
        <f>D20+J20</f>
        <v>916509.58000000007</v>
      </c>
      <c r="M20" s="436">
        <f>C20-L20</f>
        <v>1312290.42</v>
      </c>
      <c r="N20" s="438" t="s">
        <v>1069</v>
      </c>
    </row>
    <row r="21" spans="1:16" hidden="1">
      <c r="A21" s="431" t="s">
        <v>1405</v>
      </c>
      <c r="B21" s="432">
        <v>4387731.8099999996</v>
      </c>
      <c r="C21" s="433"/>
      <c r="D21" s="434">
        <v>4387731.8099999996</v>
      </c>
      <c r="E21" s="435"/>
      <c r="F21" s="433"/>
      <c r="G21" s="436">
        <v>4387731.8099999996</v>
      </c>
      <c r="H21" s="436"/>
      <c r="I21" s="436"/>
      <c r="J21" s="436"/>
      <c r="K21" s="436"/>
      <c r="L21" s="436"/>
      <c r="M21" s="436"/>
      <c r="N21" s="437"/>
    </row>
    <row r="22" spans="1:16">
      <c r="A22" s="431" t="s">
        <v>1405</v>
      </c>
      <c r="B22" s="433"/>
      <c r="C22" s="448">
        <v>15649999.99</v>
      </c>
      <c r="D22" s="434">
        <v>4944560.3499999996</v>
      </c>
      <c r="E22" s="434">
        <v>10705439.640000001</v>
      </c>
      <c r="F22" s="159" t="s">
        <v>1187</v>
      </c>
      <c r="G22" s="436"/>
      <c r="H22" s="436">
        <v>2.7898658701532688</v>
      </c>
      <c r="I22" s="436">
        <v>1306110.2799999998</v>
      </c>
      <c r="J22" s="436">
        <f>I22*3</f>
        <v>3918330.8399999994</v>
      </c>
      <c r="K22" s="436"/>
      <c r="L22" s="436">
        <f>D22+J22</f>
        <v>8862891.1899999995</v>
      </c>
      <c r="M22" s="436">
        <f>C22-L22</f>
        <v>6787108.8000000007</v>
      </c>
    </row>
    <row r="23" spans="1:16" hidden="1">
      <c r="A23" s="431" t="s">
        <v>1406</v>
      </c>
      <c r="B23" s="432">
        <v>320437.71999999997</v>
      </c>
      <c r="C23" s="433"/>
      <c r="D23" s="434">
        <v>320437.71999999997</v>
      </c>
      <c r="E23" s="435"/>
      <c r="F23" s="433"/>
      <c r="G23" s="436">
        <v>320437.71999999997</v>
      </c>
      <c r="H23" s="436"/>
      <c r="I23" s="436"/>
      <c r="J23" s="436"/>
      <c r="K23" s="436"/>
      <c r="L23" s="436"/>
      <c r="M23" s="436"/>
      <c r="N23" s="437"/>
    </row>
    <row r="24" spans="1:16" ht="25.5">
      <c r="A24" s="431" t="s">
        <v>1406</v>
      </c>
      <c r="B24" s="433"/>
      <c r="C24" s="448">
        <v>750000</v>
      </c>
      <c r="D24" s="434">
        <v>498633.92</v>
      </c>
      <c r="E24" s="434">
        <v>251366.08</v>
      </c>
      <c r="F24" s="159" t="s">
        <v>1407</v>
      </c>
      <c r="G24" s="436"/>
      <c r="H24" s="436">
        <v>6.98087488</v>
      </c>
      <c r="I24" s="436">
        <v>62329.239999999991</v>
      </c>
      <c r="J24" s="436">
        <f>I24*3</f>
        <v>186987.71999999997</v>
      </c>
      <c r="K24" s="436"/>
      <c r="L24" s="436">
        <f>D24+J24</f>
        <v>685621.6399999999</v>
      </c>
      <c r="M24" s="436">
        <f>C24-L24</f>
        <v>64378.360000000102</v>
      </c>
      <c r="P24" s="438" t="s">
        <v>1069</v>
      </c>
    </row>
    <row r="25" spans="1:16" hidden="1">
      <c r="A25" s="431" t="s">
        <v>1408</v>
      </c>
      <c r="B25" s="432">
        <v>2086463.74</v>
      </c>
      <c r="C25" s="433"/>
      <c r="D25" s="434">
        <v>2086463.74</v>
      </c>
      <c r="E25" s="435"/>
      <c r="F25" s="433"/>
      <c r="G25" s="436">
        <v>2086463.74</v>
      </c>
      <c r="H25" s="436"/>
      <c r="I25" s="436"/>
      <c r="J25" s="436"/>
      <c r="K25" s="436"/>
      <c r="L25" s="436"/>
      <c r="M25" s="436"/>
      <c r="N25" s="437"/>
    </row>
    <row r="26" spans="1:16">
      <c r="A26" s="431" t="s">
        <v>1408</v>
      </c>
      <c r="B26" s="433"/>
      <c r="C26" s="448">
        <v>16956800</v>
      </c>
      <c r="D26" s="434">
        <v>6894754.4800000004</v>
      </c>
      <c r="E26" s="434">
        <v>10062045.52</v>
      </c>
      <c r="F26" s="159" t="s">
        <v>1409</v>
      </c>
      <c r="G26" s="436"/>
      <c r="H26" s="436">
        <v>3.8807749551802226</v>
      </c>
      <c r="I26" s="436">
        <v>1410960.75</v>
      </c>
      <c r="J26" s="436">
        <f>I26*3</f>
        <v>4232882.25</v>
      </c>
      <c r="K26" s="436"/>
      <c r="L26" s="436">
        <f>D26+J26</f>
        <v>11127636.73</v>
      </c>
      <c r="M26" s="436">
        <f>C26-L26</f>
        <v>5829163.2699999996</v>
      </c>
    </row>
    <row r="27" spans="1:16" ht="25.5" hidden="1">
      <c r="A27" s="431" t="s">
        <v>1410</v>
      </c>
      <c r="B27" s="432">
        <v>23267.75</v>
      </c>
      <c r="C27" s="433"/>
      <c r="D27" s="434">
        <v>23267.75</v>
      </c>
      <c r="E27" s="435"/>
      <c r="F27" s="433"/>
      <c r="G27" s="436">
        <v>23267.75</v>
      </c>
      <c r="H27" s="436"/>
      <c r="I27" s="436"/>
      <c r="J27" s="436"/>
      <c r="K27" s="436"/>
      <c r="L27" s="436"/>
      <c r="M27" s="436"/>
      <c r="N27" s="437"/>
    </row>
    <row r="28" spans="1:16" ht="25.5">
      <c r="A28" s="431" t="s">
        <v>1410</v>
      </c>
      <c r="B28" s="433"/>
      <c r="C28" s="448">
        <v>90000</v>
      </c>
      <c r="D28" s="434">
        <v>44195.24</v>
      </c>
      <c r="E28" s="434">
        <v>45804.76</v>
      </c>
      <c r="F28" s="159" t="s">
        <v>1411</v>
      </c>
      <c r="G28" s="436"/>
      <c r="H28" s="436">
        <v>4.8912079999999998</v>
      </c>
      <c r="I28" s="436">
        <v>7511.18</v>
      </c>
      <c r="J28" s="436">
        <f t="shared" ref="J28:J29" si="1">I28*3</f>
        <v>22533.54</v>
      </c>
      <c r="K28" s="436"/>
      <c r="L28" s="436">
        <f>D28+J28</f>
        <v>66728.78</v>
      </c>
      <c r="M28" s="436">
        <f>C28-L28</f>
        <v>23271.22</v>
      </c>
    </row>
    <row r="29" spans="1:16" ht="30.75" customHeight="1">
      <c r="A29" s="431" t="s">
        <v>1412</v>
      </c>
      <c r="B29" s="433"/>
      <c r="C29" s="448">
        <v>533777.74</v>
      </c>
      <c r="D29" s="434">
        <v>206798.58</v>
      </c>
      <c r="E29" s="434">
        <v>326979.15999999997</v>
      </c>
      <c r="F29" s="159" t="s">
        <v>1413</v>
      </c>
      <c r="G29" s="436"/>
      <c r="H29" s="436">
        <v>4.1325281192880015</v>
      </c>
      <c r="I29" s="436">
        <v>22977.619999999995</v>
      </c>
      <c r="J29" s="436">
        <f t="shared" si="1"/>
        <v>68932.859999999986</v>
      </c>
      <c r="K29" s="436"/>
      <c r="L29" s="436">
        <f>D29+J29</f>
        <v>275731.43999999994</v>
      </c>
      <c r="M29" s="436">
        <f>C29-L29</f>
        <v>258046.30000000005</v>
      </c>
      <c r="N29" s="438" t="s">
        <v>1069</v>
      </c>
    </row>
    <row r="30" spans="1:16">
      <c r="A30" s="445" t="s">
        <v>1368</v>
      </c>
      <c r="B30" s="446">
        <f>SUM(B2:B29)</f>
        <v>13301186.540000003</v>
      </c>
      <c r="C30" s="446">
        <f>SUM(C2:C29)</f>
        <v>60170320.93</v>
      </c>
      <c r="D30" s="446">
        <f t="shared" ref="D30:E30" si="2">SUM(D2:D29)</f>
        <v>38066709.319999993</v>
      </c>
      <c r="E30" s="446">
        <f t="shared" si="2"/>
        <v>35404798.149999991</v>
      </c>
      <c r="F30" s="446" t="s">
        <v>1069</v>
      </c>
      <c r="G30" s="446">
        <v>13258319.640000001</v>
      </c>
      <c r="H30" s="446">
        <f t="shared" ref="H30:M30" si="3">SUM(H2:H29)</f>
        <v>61.340828976231229</v>
      </c>
      <c r="I30" s="446">
        <f t="shared" si="3"/>
        <v>4944876.07</v>
      </c>
      <c r="J30" s="446">
        <f t="shared" si="3"/>
        <v>14978984.710000001</v>
      </c>
      <c r="K30" s="446">
        <f t="shared" si="3"/>
        <v>336093.33333333337</v>
      </c>
      <c r="L30" s="446">
        <f t="shared" si="3"/>
        <v>39796070.25</v>
      </c>
      <c r="M30" s="446">
        <f t="shared" si="3"/>
        <v>20417117.579999994</v>
      </c>
    </row>
    <row r="31" spans="1:16" hidden="1">
      <c r="I31" s="438"/>
      <c r="L31" s="437"/>
      <c r="M31" s="437">
        <f>B30+C30-G30-L30</f>
        <v>20417117.579999998</v>
      </c>
    </row>
    <row r="32" spans="1:16">
      <c r="L32" s="437"/>
    </row>
    <row r="33" spans="3:8" ht="38.25">
      <c r="C33" s="437">
        <f>C30-C29-C12</f>
        <v>55005219.989999995</v>
      </c>
      <c r="F33" s="431" t="s">
        <v>1305</v>
      </c>
      <c r="G33" s="437">
        <v>42866.900000002235</v>
      </c>
      <c r="H33" s="438" t="s">
        <v>1414</v>
      </c>
    </row>
  </sheetData>
  <autoFilter ref="A1:P31">
    <filterColumn colId="11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6"/>
  <sheetViews>
    <sheetView zoomScale="85" zoomScaleNormal="85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A161" sqref="A161"/>
    </sheetView>
  </sheetViews>
  <sheetFormatPr defaultRowHeight="15" outlineLevelRow="2"/>
  <cols>
    <col min="1" max="1" width="81.140625" customWidth="1"/>
    <col min="2" max="2" width="14.28515625" customWidth="1"/>
    <col min="3" max="3" width="14" hidden="1" customWidth="1"/>
    <col min="4" max="5" width="11.28515625" hidden="1" customWidth="1"/>
    <col min="6" max="6" width="12.28515625" hidden="1" customWidth="1"/>
    <col min="7" max="8" width="11.28515625" hidden="1" customWidth="1"/>
    <col min="9" max="9" width="12.28515625" hidden="1" customWidth="1"/>
    <col min="10" max="10" width="11.28515625" hidden="1" customWidth="1"/>
    <col min="11" max="11" width="14.85546875" hidden="1" customWidth="1"/>
    <col min="12" max="12" width="14.85546875" style="407" hidden="1" customWidth="1"/>
    <col min="13" max="16" width="14.85546875" hidden="1" customWidth="1"/>
    <col min="17" max="18" width="14.85546875" customWidth="1"/>
    <col min="19" max="19" width="14.85546875" bestFit="1" customWidth="1"/>
  </cols>
  <sheetData>
    <row r="1" spans="1:21">
      <c r="A1" s="364" t="s">
        <v>1207</v>
      </c>
      <c r="B1" s="364"/>
      <c r="C1" s="364"/>
      <c r="D1" s="364"/>
      <c r="E1" s="364"/>
      <c r="F1" s="364"/>
      <c r="G1" s="364"/>
      <c r="H1" s="364"/>
      <c r="I1" s="364"/>
      <c r="J1" s="364"/>
      <c r="K1" s="365"/>
      <c r="L1" s="366"/>
      <c r="M1" s="365"/>
      <c r="N1" s="365"/>
      <c r="O1" s="365"/>
      <c r="P1" s="365"/>
      <c r="Q1" s="365"/>
      <c r="R1" s="365"/>
      <c r="S1" s="365"/>
      <c r="T1" s="365"/>
      <c r="U1" s="365"/>
    </row>
    <row r="2" spans="1:21" ht="31.5">
      <c r="A2" s="367" t="s">
        <v>1208</v>
      </c>
      <c r="B2" s="367"/>
      <c r="C2" s="367"/>
      <c r="D2" s="367"/>
      <c r="E2" s="367"/>
      <c r="F2" s="367"/>
      <c r="G2" s="367"/>
      <c r="H2" s="367"/>
      <c r="I2" s="367"/>
      <c r="J2" s="367"/>
      <c r="K2" s="365"/>
      <c r="L2" s="366"/>
      <c r="M2" s="365"/>
      <c r="N2" s="365"/>
      <c r="O2" s="365"/>
      <c r="P2" s="365"/>
      <c r="Q2" s="365"/>
      <c r="R2" s="365"/>
      <c r="S2" s="365"/>
      <c r="T2" s="365"/>
      <c r="U2" s="365"/>
    </row>
    <row r="3" spans="1:21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6"/>
      <c r="M3" s="365"/>
      <c r="N3" s="365"/>
      <c r="O3" s="365"/>
      <c r="P3" s="365"/>
      <c r="Q3" s="365"/>
      <c r="R3" s="365"/>
      <c r="S3" s="365"/>
      <c r="T3" s="365"/>
      <c r="U3" s="365"/>
    </row>
    <row r="4" spans="1:21">
      <c r="A4" s="368" t="s">
        <v>1209</v>
      </c>
      <c r="B4" s="369">
        <f>B39-C4</f>
        <v>-169000</v>
      </c>
      <c r="C4" s="368">
        <f>K39*2</f>
        <v>2028000</v>
      </c>
      <c r="D4" s="368"/>
      <c r="E4" s="368"/>
      <c r="F4" s="368"/>
      <c r="G4" s="368"/>
      <c r="H4" s="368"/>
      <c r="I4" s="368"/>
      <c r="J4" s="368"/>
      <c r="K4" s="365"/>
      <c r="L4" s="366"/>
      <c r="M4" s="365"/>
      <c r="N4" s="365"/>
      <c r="O4" s="365"/>
      <c r="P4" s="365"/>
      <c r="Q4" s="365"/>
      <c r="R4" s="365"/>
      <c r="S4" s="365"/>
      <c r="T4" s="365"/>
      <c r="U4" s="365"/>
    </row>
    <row r="5" spans="1:21">
      <c r="A5" s="365"/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6"/>
      <c r="M5" s="365"/>
      <c r="N5" s="365"/>
      <c r="O5" s="365"/>
      <c r="P5" s="365"/>
      <c r="Q5" s="365"/>
      <c r="R5" s="365"/>
      <c r="S5" s="365"/>
      <c r="T5" s="365"/>
      <c r="U5" s="365"/>
    </row>
    <row r="6" spans="1:21" ht="15" customHeight="1">
      <c r="A6" s="370" t="s">
        <v>1210</v>
      </c>
      <c r="B6" s="370" t="s">
        <v>1076</v>
      </c>
      <c r="C6" s="370" t="s">
        <v>1211</v>
      </c>
      <c r="D6" s="370" t="s">
        <v>1212</v>
      </c>
      <c r="E6" s="370" t="s">
        <v>1213</v>
      </c>
      <c r="F6" s="370" t="s">
        <v>1214</v>
      </c>
      <c r="G6" s="370" t="s">
        <v>1215</v>
      </c>
      <c r="H6" s="370" t="s">
        <v>1216</v>
      </c>
      <c r="I6" s="370" t="s">
        <v>1217</v>
      </c>
      <c r="J6" s="370" t="s">
        <v>1218</v>
      </c>
      <c r="K6" s="370" t="s">
        <v>1219</v>
      </c>
      <c r="L6" s="371"/>
      <c r="M6" s="370"/>
      <c r="N6" s="370"/>
      <c r="O6" s="370"/>
      <c r="P6" s="370"/>
      <c r="Q6" s="370"/>
      <c r="R6" s="370"/>
      <c r="S6" s="370"/>
      <c r="T6" s="542" t="s">
        <v>1220</v>
      </c>
      <c r="U6" s="542"/>
    </row>
    <row r="7" spans="1:21" ht="36" customHeight="1">
      <c r="A7" s="373" t="s">
        <v>1221</v>
      </c>
      <c r="B7" s="373"/>
      <c r="C7" s="373"/>
      <c r="D7" s="373"/>
      <c r="E7" s="373"/>
      <c r="F7" s="373"/>
      <c r="G7" s="373"/>
      <c r="H7" s="373"/>
      <c r="I7" s="373"/>
      <c r="J7" s="373"/>
      <c r="K7" s="373" t="s">
        <v>1222</v>
      </c>
      <c r="L7" s="374"/>
      <c r="M7" s="373" t="s">
        <v>1223</v>
      </c>
      <c r="N7" s="373" t="s">
        <v>1224</v>
      </c>
      <c r="O7" s="373" t="s">
        <v>1225</v>
      </c>
      <c r="P7" s="373" t="s">
        <v>1226</v>
      </c>
      <c r="Q7" s="373" t="s">
        <v>1068</v>
      </c>
      <c r="R7" s="375" t="s">
        <v>1227</v>
      </c>
      <c r="S7" s="373" t="s">
        <v>1228</v>
      </c>
      <c r="T7" s="373" t="s">
        <v>1222</v>
      </c>
      <c r="U7" s="373" t="s">
        <v>1228</v>
      </c>
    </row>
    <row r="8" spans="1:21">
      <c r="A8" s="376" t="s">
        <v>1229</v>
      </c>
      <c r="B8" s="376"/>
      <c r="C8" s="376"/>
      <c r="D8" s="376"/>
      <c r="E8" s="376"/>
      <c r="F8" s="376"/>
      <c r="G8" s="376"/>
      <c r="H8" s="376"/>
      <c r="I8" s="376"/>
      <c r="J8" s="376"/>
      <c r="K8" s="377">
        <v>1310138062.6199999</v>
      </c>
      <c r="L8" s="378"/>
      <c r="M8" s="377"/>
      <c r="N8" s="377"/>
      <c r="O8" s="377"/>
      <c r="P8" s="377"/>
      <c r="Q8" s="377"/>
      <c r="R8" s="377">
        <f t="shared" ref="R8:R19" si="0">K8/1000</f>
        <v>1310138.06262</v>
      </c>
      <c r="S8" s="377">
        <v>1310138062.6199999</v>
      </c>
      <c r="T8" s="379"/>
      <c r="U8" s="379"/>
    </row>
    <row r="9" spans="1:21">
      <c r="A9" s="380" t="s">
        <v>1230</v>
      </c>
      <c r="B9" s="380"/>
      <c r="C9" s="380"/>
      <c r="D9" s="380"/>
      <c r="E9" s="380"/>
      <c r="F9" s="380"/>
      <c r="G9" s="380"/>
      <c r="H9" s="380"/>
      <c r="I9" s="380"/>
      <c r="J9" s="380"/>
      <c r="K9" s="381">
        <v>30000</v>
      </c>
      <c r="L9" s="382"/>
      <c r="M9" s="381"/>
      <c r="N9" s="381"/>
      <c r="O9" s="381"/>
      <c r="P9" s="381"/>
      <c r="Q9" s="381"/>
      <c r="R9" s="381">
        <f t="shared" si="0"/>
        <v>30</v>
      </c>
      <c r="S9" s="381">
        <v>1310138062.6199999</v>
      </c>
      <c r="T9" s="383"/>
      <c r="U9" s="383"/>
    </row>
    <row r="10" spans="1:21">
      <c r="A10" s="384" t="s">
        <v>1231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1">
        <v>383213843</v>
      </c>
      <c r="L10" s="382"/>
      <c r="M10" s="381"/>
      <c r="N10" s="381"/>
      <c r="O10" s="381"/>
      <c r="P10" s="381"/>
      <c r="Q10" s="381"/>
      <c r="R10" s="381">
        <f t="shared" si="0"/>
        <v>383213.84299999999</v>
      </c>
      <c r="S10" s="383"/>
      <c r="T10" s="383"/>
      <c r="U10" s="383"/>
    </row>
    <row r="11" spans="1:21">
      <c r="A11" s="384" t="s">
        <v>1232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1">
        <v>51100000</v>
      </c>
      <c r="L11" s="382"/>
      <c r="M11" s="381"/>
      <c r="N11" s="381"/>
      <c r="O11" s="381"/>
      <c r="P11" s="381"/>
      <c r="Q11" s="381"/>
      <c r="R11" s="381">
        <f t="shared" si="0"/>
        <v>51100</v>
      </c>
      <c r="S11" s="383"/>
      <c r="T11" s="383"/>
      <c r="U11" s="383"/>
    </row>
    <row r="12" spans="1:21">
      <c r="A12" s="384" t="s">
        <v>1233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1">
        <v>99775449</v>
      </c>
      <c r="L12" s="382"/>
      <c r="M12" s="381"/>
      <c r="N12" s="381"/>
      <c r="O12" s="381"/>
      <c r="P12" s="381"/>
      <c r="Q12" s="381"/>
      <c r="R12" s="381">
        <f t="shared" si="0"/>
        <v>99775.448999999993</v>
      </c>
      <c r="S12" s="383"/>
      <c r="T12" s="383"/>
      <c r="U12" s="383"/>
    </row>
    <row r="13" spans="1:21">
      <c r="A13" s="384" t="s">
        <v>1234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1">
        <v>96800000</v>
      </c>
      <c r="L13" s="382"/>
      <c r="M13" s="381"/>
      <c r="N13" s="381"/>
      <c r="O13" s="381"/>
      <c r="P13" s="381"/>
      <c r="Q13" s="381"/>
      <c r="R13" s="381">
        <f t="shared" si="0"/>
        <v>96800</v>
      </c>
      <c r="S13" s="383"/>
      <c r="T13" s="383"/>
      <c r="U13" s="383"/>
    </row>
    <row r="14" spans="1:21">
      <c r="A14" s="384" t="s">
        <v>1235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1">
        <v>134812276</v>
      </c>
      <c r="L14" s="382"/>
      <c r="M14" s="381"/>
      <c r="N14" s="381"/>
      <c r="O14" s="381"/>
      <c r="P14" s="381"/>
      <c r="Q14" s="381"/>
      <c r="R14" s="381">
        <f t="shared" si="0"/>
        <v>134812.27600000001</v>
      </c>
      <c r="S14" s="383"/>
      <c r="T14" s="383"/>
      <c r="U14" s="383"/>
    </row>
    <row r="15" spans="1:21">
      <c r="A15" s="384" t="s">
        <v>1236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1">
        <v>55300000</v>
      </c>
      <c r="L15" s="382"/>
      <c r="M15" s="381"/>
      <c r="N15" s="381"/>
      <c r="O15" s="381"/>
      <c r="P15" s="381"/>
      <c r="Q15" s="381"/>
      <c r="R15" s="381">
        <f t="shared" si="0"/>
        <v>55300</v>
      </c>
      <c r="S15" s="383"/>
      <c r="T15" s="383"/>
      <c r="U15" s="383"/>
    </row>
    <row r="16" spans="1:21">
      <c r="A16" s="384" t="s">
        <v>1237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1">
        <v>51100000</v>
      </c>
      <c r="L16" s="382"/>
      <c r="M16" s="381"/>
      <c r="N16" s="381"/>
      <c r="O16" s="381"/>
      <c r="P16" s="381"/>
      <c r="Q16" s="381"/>
      <c r="R16" s="381">
        <f t="shared" si="0"/>
        <v>51100</v>
      </c>
      <c r="S16" s="383"/>
      <c r="T16" s="383"/>
      <c r="U16" s="383"/>
    </row>
    <row r="17" spans="1:21">
      <c r="A17" s="384" t="s">
        <v>1238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1">
        <v>37293283.969999999</v>
      </c>
      <c r="L17" s="382"/>
      <c r="M17" s="381"/>
      <c r="N17" s="381"/>
      <c r="O17" s="381"/>
      <c r="P17" s="381"/>
      <c r="Q17" s="381"/>
      <c r="R17" s="381">
        <f t="shared" si="0"/>
        <v>37293.283969999997</v>
      </c>
      <c r="S17" s="383"/>
      <c r="T17" s="383"/>
      <c r="U17" s="383"/>
    </row>
    <row r="18" spans="1:21">
      <c r="A18" s="384" t="s">
        <v>1239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1">
        <v>3521370</v>
      </c>
      <c r="L18" s="382"/>
      <c r="M18" s="381"/>
      <c r="N18" s="381"/>
      <c r="O18" s="381"/>
      <c r="P18" s="381"/>
      <c r="Q18" s="381"/>
      <c r="R18" s="381">
        <f t="shared" si="0"/>
        <v>3521.37</v>
      </c>
      <c r="S18" s="383"/>
      <c r="T18" s="383"/>
      <c r="U18" s="383"/>
    </row>
    <row r="19" spans="1:21">
      <c r="A19" s="380" t="s">
        <v>1240</v>
      </c>
      <c r="B19" s="380"/>
      <c r="C19" s="381">
        <f>SUM(C20:C21)</f>
        <v>1109954</v>
      </c>
      <c r="D19" s="381">
        <f t="shared" ref="D19:J19" si="1">SUM(D20:D21)</f>
        <v>1109954</v>
      </c>
      <c r="E19" s="381">
        <f t="shared" si="1"/>
        <v>1109954</v>
      </c>
      <c r="F19" s="381">
        <f t="shared" si="1"/>
        <v>1109954</v>
      </c>
      <c r="G19" s="381">
        <f t="shared" si="1"/>
        <v>1109954</v>
      </c>
      <c r="H19" s="381">
        <f t="shared" si="1"/>
        <v>1109954</v>
      </c>
      <c r="I19" s="381">
        <f t="shared" si="1"/>
        <v>1109954</v>
      </c>
      <c r="J19" s="381">
        <f t="shared" si="1"/>
        <v>1109954</v>
      </c>
      <c r="K19" s="381">
        <v>8879632</v>
      </c>
      <c r="L19" s="382">
        <f>K19-C19-D19-E19-F19-G19-H19-I19-J19</f>
        <v>0</v>
      </c>
      <c r="M19" s="381">
        <f t="shared" ref="M19:Q19" si="2">SUM(M20:M21)</f>
        <v>1109954</v>
      </c>
      <c r="N19" s="381">
        <f t="shared" si="2"/>
        <v>1109954</v>
      </c>
      <c r="O19" s="381">
        <f t="shared" si="2"/>
        <v>1109954</v>
      </c>
      <c r="P19" s="381">
        <f t="shared" si="2"/>
        <v>1109954</v>
      </c>
      <c r="Q19" s="408">
        <f t="shared" si="2"/>
        <v>13319448</v>
      </c>
      <c r="R19" s="385">
        <f t="shared" si="0"/>
        <v>8879.6319999999996</v>
      </c>
      <c r="S19" s="383"/>
      <c r="T19" s="383"/>
      <c r="U19" s="383"/>
    </row>
    <row r="20" spans="1:21" s="391" customFormat="1" ht="24" outlineLevel="1">
      <c r="A20" s="386" t="s">
        <v>1241</v>
      </c>
      <c r="B20" s="387">
        <v>2692049.64</v>
      </c>
      <c r="C20" s="387">
        <v>1109954</v>
      </c>
      <c r="D20" s="387">
        <v>1109954</v>
      </c>
      <c r="E20" s="387"/>
      <c r="F20" s="387"/>
      <c r="G20" s="387"/>
      <c r="H20" s="387"/>
      <c r="I20" s="387"/>
      <c r="J20" s="387"/>
      <c r="K20" s="387">
        <f>SUM(C20:J20)</f>
        <v>2219908</v>
      </c>
      <c r="L20" s="388">
        <f t="shared" ref="L20:L21" si="3">K20-C20-D20-E20-F20-G20-H20-I20-J20</f>
        <v>0</v>
      </c>
      <c r="M20" s="387"/>
      <c r="N20" s="387"/>
      <c r="O20" s="387"/>
      <c r="P20" s="387"/>
      <c r="Q20" s="409">
        <f>K20+M20+N20+O20+P20</f>
        <v>2219908</v>
      </c>
      <c r="R20" s="389"/>
      <c r="S20" s="390"/>
      <c r="T20" s="390"/>
      <c r="U20" s="390"/>
    </row>
    <row r="21" spans="1:21" s="391" customFormat="1" ht="24" outlineLevel="1">
      <c r="A21" s="386" t="s">
        <v>1242</v>
      </c>
      <c r="B21" s="387">
        <v>13460248.210000001</v>
      </c>
      <c r="C21" s="392"/>
      <c r="D21" s="392"/>
      <c r="E21" s="387">
        <v>1109954</v>
      </c>
      <c r="F21" s="387">
        <v>1109954</v>
      </c>
      <c r="G21" s="387">
        <v>1109954</v>
      </c>
      <c r="H21" s="387">
        <v>1109954</v>
      </c>
      <c r="I21" s="387">
        <v>1109954</v>
      </c>
      <c r="J21" s="387">
        <v>1109954</v>
      </c>
      <c r="K21" s="387">
        <f>SUM(C21:J21)</f>
        <v>6659724</v>
      </c>
      <c r="L21" s="388">
        <f t="shared" si="3"/>
        <v>0</v>
      </c>
      <c r="M21" s="387">
        <f>$K21/6</f>
        <v>1109954</v>
      </c>
      <c r="N21" s="387">
        <f t="shared" ref="N21:P21" si="4">$K21/6</f>
        <v>1109954</v>
      </c>
      <c r="O21" s="387">
        <f t="shared" si="4"/>
        <v>1109954</v>
      </c>
      <c r="P21" s="387">
        <f t="shared" si="4"/>
        <v>1109954</v>
      </c>
      <c r="Q21" s="409">
        <f>K21+M21+N21+O21+P21</f>
        <v>11099540</v>
      </c>
      <c r="R21" s="389"/>
      <c r="S21" s="390"/>
      <c r="T21" s="390"/>
      <c r="U21" s="390"/>
    </row>
    <row r="22" spans="1:21">
      <c r="A22" s="380" t="s">
        <v>1243</v>
      </c>
      <c r="B22" s="380"/>
      <c r="C22" s="381">
        <f>SUM(C23:C24)</f>
        <v>155500.01999999999</v>
      </c>
      <c r="D22" s="381">
        <f t="shared" ref="D22:J22" si="5">SUM(D23:D24)</f>
        <v>155500.01999999999</v>
      </c>
      <c r="E22" s="381">
        <f t="shared" si="5"/>
        <v>155500.01999999999</v>
      </c>
      <c r="F22" s="381">
        <f t="shared" si="5"/>
        <v>155500.01999999999</v>
      </c>
      <c r="G22" s="381">
        <f t="shared" si="5"/>
        <v>155500.01999999999</v>
      </c>
      <c r="H22" s="381">
        <f t="shared" si="5"/>
        <v>155500.01999999999</v>
      </c>
      <c r="I22" s="381">
        <f t="shared" si="5"/>
        <v>155500.01999999999</v>
      </c>
      <c r="J22" s="381">
        <f t="shared" si="5"/>
        <v>155500.01999999999</v>
      </c>
      <c r="K22" s="381">
        <v>1244000.1599999999</v>
      </c>
      <c r="L22" s="382">
        <f>K22-C22-D22-E22-F22-G22-H22-I22-J22</f>
        <v>0</v>
      </c>
      <c r="M22" s="381">
        <f t="shared" ref="M22" si="6">SUM(M23:M24)</f>
        <v>155500.01999999999</v>
      </c>
      <c r="N22" s="381">
        <f t="shared" ref="N22:Q22" si="7">SUM(N23:N24)</f>
        <v>155500.01999999999</v>
      </c>
      <c r="O22" s="381">
        <f t="shared" si="7"/>
        <v>155500.01999999999</v>
      </c>
      <c r="P22" s="381">
        <f t="shared" si="7"/>
        <v>155500.01999999999</v>
      </c>
      <c r="Q22" s="408">
        <f t="shared" si="7"/>
        <v>1866000.24</v>
      </c>
      <c r="R22" s="385">
        <f>K22/1000</f>
        <v>1244.0001599999998</v>
      </c>
      <c r="S22" s="383"/>
      <c r="T22" s="383"/>
      <c r="U22" s="383"/>
    </row>
    <row r="23" spans="1:21" ht="24" outlineLevel="1">
      <c r="A23" s="386" t="s">
        <v>1244</v>
      </c>
      <c r="B23" s="387">
        <v>968943.72960000008</v>
      </c>
      <c r="C23" s="387">
        <v>155500.01999999999</v>
      </c>
      <c r="D23" s="387">
        <v>155500.01999999999</v>
      </c>
      <c r="E23" s="387"/>
      <c r="F23" s="387"/>
      <c r="G23" s="387"/>
      <c r="H23" s="387"/>
      <c r="I23" s="387"/>
      <c r="J23" s="387"/>
      <c r="K23" s="387">
        <f>SUM(C23:J23)</f>
        <v>311000.03999999998</v>
      </c>
      <c r="L23" s="388">
        <f t="shared" ref="L23:L27" si="8">K23-C23-D23-E23-F23-G23-H23-I23-J23</f>
        <v>0</v>
      </c>
      <c r="M23" s="387"/>
      <c r="N23" s="387"/>
      <c r="O23" s="387"/>
      <c r="P23" s="387"/>
      <c r="Q23" s="409">
        <f>K23+M23+N23+O23+P23</f>
        <v>311000.03999999998</v>
      </c>
      <c r="R23" s="389"/>
      <c r="S23" s="390"/>
      <c r="T23" s="390"/>
      <c r="U23" s="390"/>
    </row>
    <row r="24" spans="1:21" ht="24" outlineLevel="1">
      <c r="A24" s="386" t="s">
        <v>1245</v>
      </c>
      <c r="B24" s="387">
        <v>4844718.6592000006</v>
      </c>
      <c r="C24" s="392"/>
      <c r="D24" s="392"/>
      <c r="E24" s="387">
        <v>155500.01999999999</v>
      </c>
      <c r="F24" s="387">
        <v>155500.01999999999</v>
      </c>
      <c r="G24" s="387">
        <v>155500.01999999999</v>
      </c>
      <c r="H24" s="387">
        <v>155500.01999999999</v>
      </c>
      <c r="I24" s="387">
        <v>155500.01999999999</v>
      </c>
      <c r="J24" s="387">
        <v>155500.01999999999</v>
      </c>
      <c r="K24" s="387">
        <f>SUM(C24:J24)</f>
        <v>933000.12</v>
      </c>
      <c r="L24" s="388">
        <f t="shared" si="8"/>
        <v>0</v>
      </c>
      <c r="M24" s="387">
        <f>$K24/6</f>
        <v>155500.01999999999</v>
      </c>
      <c r="N24" s="387">
        <f t="shared" ref="N24:P24" si="9">$K24/6</f>
        <v>155500.01999999999</v>
      </c>
      <c r="O24" s="387">
        <f t="shared" si="9"/>
        <v>155500.01999999999</v>
      </c>
      <c r="P24" s="387">
        <f t="shared" si="9"/>
        <v>155500.01999999999</v>
      </c>
      <c r="Q24" s="409">
        <f>K24+M24+N24+O24+P24</f>
        <v>1555000.2</v>
      </c>
      <c r="R24" s="389"/>
      <c r="S24" s="390"/>
      <c r="T24" s="390"/>
      <c r="U24" s="390"/>
    </row>
    <row r="25" spans="1:21">
      <c r="A25" s="380" t="s">
        <v>1246</v>
      </c>
      <c r="B25" s="380"/>
      <c r="C25" s="381">
        <f>SUM(C26:C27)</f>
        <v>1859200</v>
      </c>
      <c r="D25" s="381">
        <f t="shared" ref="D25:J25" si="10">SUM(D26:D27)</f>
        <v>1859200</v>
      </c>
      <c r="E25" s="381">
        <f t="shared" si="10"/>
        <v>2655797.7599999998</v>
      </c>
      <c r="F25" s="381">
        <f t="shared" si="10"/>
        <v>2655797.7599999998</v>
      </c>
      <c r="G25" s="381">
        <f t="shared" si="10"/>
        <v>2655797.7599999998</v>
      </c>
      <c r="H25" s="381">
        <f t="shared" si="10"/>
        <v>2655797.7599999998</v>
      </c>
      <c r="I25" s="381">
        <f t="shared" si="10"/>
        <v>2655797.7599999998</v>
      </c>
      <c r="J25" s="381">
        <f t="shared" si="10"/>
        <v>2655797.7599999998</v>
      </c>
      <c r="K25" s="381">
        <v>16997388.800000001</v>
      </c>
      <c r="L25" s="382">
        <f>K25-C25-D25-E25-F25-G25-H25-I25-J25</f>
        <v>-2655797.7599999979</v>
      </c>
      <c r="M25" s="381">
        <f t="shared" ref="M25" si="11">SUM(M26:M27)</f>
        <v>2655797.7599999998</v>
      </c>
      <c r="N25" s="381">
        <f t="shared" ref="N25:Q25" si="12">SUM(N26:N27)</f>
        <v>2655797.7599999998</v>
      </c>
      <c r="O25" s="381">
        <f t="shared" si="12"/>
        <v>2655797.7599999998</v>
      </c>
      <c r="P25" s="381">
        <f t="shared" si="12"/>
        <v>2655797.7599999998</v>
      </c>
      <c r="Q25" s="408">
        <f t="shared" si="12"/>
        <v>30276377.599999994</v>
      </c>
      <c r="R25" s="385">
        <f>K25/1000</f>
        <v>16997.388800000001</v>
      </c>
      <c r="S25" s="383"/>
      <c r="T25" s="383"/>
      <c r="U25" s="383"/>
    </row>
    <row r="26" spans="1:21" ht="24" outlineLevel="1">
      <c r="A26" s="386" t="s">
        <v>1247</v>
      </c>
      <c r="B26" s="387">
        <v>3718400</v>
      </c>
      <c r="C26" s="387">
        <v>1859200</v>
      </c>
      <c r="D26" s="387">
        <v>1859200</v>
      </c>
      <c r="E26" s="387"/>
      <c r="F26" s="387"/>
      <c r="G26" s="387"/>
      <c r="H26" s="387"/>
      <c r="I26" s="387"/>
      <c r="J26" s="387"/>
      <c r="K26" s="387">
        <f>SUM(C26:J26)</f>
        <v>3718400</v>
      </c>
      <c r="L26" s="388">
        <f t="shared" si="8"/>
        <v>0</v>
      </c>
      <c r="M26" s="387"/>
      <c r="N26" s="387"/>
      <c r="O26" s="387"/>
      <c r="P26" s="387"/>
      <c r="Q26" s="409">
        <f>K26+M26+N26+O26+P26</f>
        <v>3718400</v>
      </c>
      <c r="R26" s="393"/>
      <c r="S26" s="383"/>
      <c r="T26" s="383"/>
      <c r="U26" s="383"/>
    </row>
    <row r="27" spans="1:21" ht="24" outlineLevel="1">
      <c r="A27" s="386" t="s">
        <v>1248</v>
      </c>
      <c r="B27" s="387">
        <v>26557977.600000001</v>
      </c>
      <c r="C27" s="392"/>
      <c r="D27" s="392"/>
      <c r="E27" s="387">
        <v>2655797.7599999998</v>
      </c>
      <c r="F27" s="387">
        <v>2655797.7599999998</v>
      </c>
      <c r="G27" s="387">
        <v>2655797.7599999998</v>
      </c>
      <c r="H27" s="387">
        <v>2655797.7599999998</v>
      </c>
      <c r="I27" s="387">
        <v>2655797.7599999998</v>
      </c>
      <c r="J27" s="387">
        <v>2655797.7599999998</v>
      </c>
      <c r="K27" s="387">
        <f>SUM(C27:J27)</f>
        <v>15934786.559999999</v>
      </c>
      <c r="L27" s="388">
        <f t="shared" si="8"/>
        <v>0</v>
      </c>
      <c r="M27" s="387">
        <f>$K27/6</f>
        <v>2655797.7599999998</v>
      </c>
      <c r="N27" s="387">
        <f t="shared" ref="N27:P27" si="13">$K27/6</f>
        <v>2655797.7599999998</v>
      </c>
      <c r="O27" s="387">
        <f t="shared" si="13"/>
        <v>2655797.7599999998</v>
      </c>
      <c r="P27" s="387">
        <f t="shared" si="13"/>
        <v>2655797.7599999998</v>
      </c>
      <c r="Q27" s="409">
        <f>K27+M27+N27+O27+P27</f>
        <v>26557977.599999994</v>
      </c>
      <c r="R27" s="393"/>
      <c r="S27" s="383"/>
      <c r="T27" s="383"/>
      <c r="U27" s="383"/>
    </row>
    <row r="28" spans="1:21">
      <c r="A28" s="380" t="s">
        <v>1249</v>
      </c>
      <c r="B28" s="380"/>
      <c r="C28" s="381">
        <f>SUM(C29:C30)</f>
        <v>394525.92</v>
      </c>
      <c r="D28" s="381">
        <f t="shared" ref="D28:J28" si="14">SUM(D29:D30)</f>
        <v>383151.17</v>
      </c>
      <c r="E28" s="381">
        <f t="shared" si="14"/>
        <v>373664.58</v>
      </c>
      <c r="F28" s="381">
        <f t="shared" si="14"/>
        <v>372181.83</v>
      </c>
      <c r="G28" s="381">
        <f t="shared" si="14"/>
        <v>376043.18</v>
      </c>
      <c r="H28" s="381">
        <f t="shared" si="14"/>
        <v>380548.41</v>
      </c>
      <c r="I28" s="381">
        <f t="shared" si="14"/>
        <v>386182.32</v>
      </c>
      <c r="J28" s="381">
        <f t="shared" si="14"/>
        <v>393012.5</v>
      </c>
      <c r="K28" s="381">
        <v>3059309.91</v>
      </c>
      <c r="L28" s="382">
        <f>K28-C28-D28-E28-F28-G28-H28-I28-J28</f>
        <v>0</v>
      </c>
      <c r="M28" s="381">
        <f t="shared" ref="M28" si="15">SUM(M29:M30)</f>
        <v>378948.02</v>
      </c>
      <c r="N28" s="381">
        <f t="shared" ref="N28:Q28" si="16">SUM(N29:N30)</f>
        <v>550000</v>
      </c>
      <c r="O28" s="381">
        <f t="shared" si="16"/>
        <v>550000</v>
      </c>
      <c r="P28" s="381">
        <f t="shared" si="16"/>
        <v>550000</v>
      </c>
      <c r="Q28" s="408">
        <f t="shared" si="16"/>
        <v>5088257.93</v>
      </c>
      <c r="R28" s="385">
        <f t="shared" ref="R28:R107" si="17">K28/1000</f>
        <v>3059.3099099999999</v>
      </c>
      <c r="S28" s="383"/>
      <c r="T28" s="383"/>
      <c r="U28" s="383"/>
    </row>
    <row r="29" spans="1:21" ht="24" outlineLevel="1">
      <c r="A29" s="386" t="s">
        <v>1244</v>
      </c>
      <c r="B29" s="387">
        <v>2622780.62</v>
      </c>
      <c r="C29" s="387">
        <v>394525.92</v>
      </c>
      <c r="D29" s="387">
        <v>383151.17</v>
      </c>
      <c r="E29" s="387"/>
      <c r="F29" s="387"/>
      <c r="G29" s="387"/>
      <c r="H29" s="387"/>
      <c r="I29" s="387"/>
      <c r="J29" s="387"/>
      <c r="K29" s="387">
        <f>SUM(C29:J29)</f>
        <v>777677.09</v>
      </c>
      <c r="L29" s="388">
        <f t="shared" ref="L29:L30" si="18">K29-C29-D29-E29-F29-G29-H29-I29-J29</f>
        <v>0</v>
      </c>
      <c r="M29" s="387"/>
      <c r="N29" s="387"/>
      <c r="O29" s="387"/>
      <c r="P29" s="387"/>
      <c r="Q29" s="409">
        <f>K29+M29+N29+O29+P29</f>
        <v>777677.09</v>
      </c>
      <c r="R29" s="393"/>
      <c r="S29" s="383"/>
      <c r="T29" s="383"/>
      <c r="U29" s="383"/>
    </row>
    <row r="30" spans="1:21" ht="24" outlineLevel="1">
      <c r="A30" s="386" t="s">
        <v>1250</v>
      </c>
      <c r="B30" s="387">
        <v>11760000</v>
      </c>
      <c r="C30" s="392"/>
      <c r="D30" s="392"/>
      <c r="E30" s="387">
        <v>373664.58</v>
      </c>
      <c r="F30" s="387">
        <v>372181.83</v>
      </c>
      <c r="G30" s="387">
        <v>376043.18</v>
      </c>
      <c r="H30" s="387">
        <v>380548.41</v>
      </c>
      <c r="I30" s="387">
        <v>386182.32</v>
      </c>
      <c r="J30" s="387">
        <v>393012.5</v>
      </c>
      <c r="K30" s="387">
        <f>SUM(C30:J30)</f>
        <v>2281632.8200000003</v>
      </c>
      <c r="L30" s="388">
        <f t="shared" si="18"/>
        <v>0</v>
      </c>
      <c r="M30" s="387">
        <v>378948.02</v>
      </c>
      <c r="N30" s="387">
        <v>550000</v>
      </c>
      <c r="O30" s="387">
        <v>550000</v>
      </c>
      <c r="P30" s="387">
        <v>550000</v>
      </c>
      <c r="Q30" s="409">
        <f>K30+M30+N30+O30+P30</f>
        <v>4310580.84</v>
      </c>
      <c r="R30" s="393"/>
      <c r="S30" s="383"/>
      <c r="T30" s="383"/>
      <c r="U30" s="383"/>
    </row>
    <row r="31" spans="1:21">
      <c r="A31" s="380" t="s">
        <v>1251</v>
      </c>
      <c r="B31" s="380"/>
      <c r="C31" s="381">
        <f>SUM(C32:C33)</f>
        <v>374650</v>
      </c>
      <c r="D31" s="381">
        <f t="shared" ref="D31:J31" si="19">SUM(D32:D33)</f>
        <v>470600</v>
      </c>
      <c r="E31" s="381">
        <f t="shared" si="19"/>
        <v>826300</v>
      </c>
      <c r="F31" s="381">
        <f t="shared" si="19"/>
        <v>597600</v>
      </c>
      <c r="G31" s="381">
        <f t="shared" si="19"/>
        <v>891700</v>
      </c>
      <c r="H31" s="381">
        <f t="shared" si="19"/>
        <v>493800</v>
      </c>
      <c r="I31" s="381">
        <f t="shared" si="19"/>
        <v>482700</v>
      </c>
      <c r="J31" s="381">
        <f t="shared" si="19"/>
        <v>531000</v>
      </c>
      <c r="K31" s="381">
        <v>4668350</v>
      </c>
      <c r="L31" s="382">
        <f>K31-C31-D31-E31-F31-G31-H31-I31-J31</f>
        <v>0</v>
      </c>
      <c r="M31" s="381">
        <f t="shared" ref="M31" si="20">SUM(M32:M33)</f>
        <v>590800</v>
      </c>
      <c r="N31" s="381">
        <f t="shared" ref="N31:Q31" si="21">SUM(N32:N33)</f>
        <v>1000000</v>
      </c>
      <c r="O31" s="381">
        <f t="shared" si="21"/>
        <v>1000000</v>
      </c>
      <c r="P31" s="381">
        <f t="shared" si="21"/>
        <v>1000000</v>
      </c>
      <c r="Q31" s="408">
        <f t="shared" si="21"/>
        <v>8259150</v>
      </c>
      <c r="R31" s="385">
        <f t="shared" si="17"/>
        <v>4668.3500000000004</v>
      </c>
      <c r="S31" s="383"/>
      <c r="T31" s="383"/>
      <c r="U31" s="383"/>
    </row>
    <row r="32" spans="1:21" ht="24" outlineLevel="1">
      <c r="A32" s="386" t="s">
        <v>1252</v>
      </c>
      <c r="B32" s="387">
        <v>2622780.62</v>
      </c>
      <c r="C32" s="387">
        <v>374650</v>
      </c>
      <c r="D32" s="387">
        <v>470600</v>
      </c>
      <c r="E32" s="387"/>
      <c r="F32" s="387"/>
      <c r="G32" s="387"/>
      <c r="H32" s="387"/>
      <c r="I32" s="387"/>
      <c r="J32" s="387"/>
      <c r="K32" s="387">
        <f>SUM(C32:J32)</f>
        <v>845250</v>
      </c>
      <c r="L32" s="388">
        <f>K32-C32-D32-E32-F32-G32-H32-I32-J32</f>
        <v>0</v>
      </c>
      <c r="M32" s="387"/>
      <c r="N32" s="387"/>
      <c r="O32" s="387"/>
      <c r="P32" s="387"/>
      <c r="Q32" s="409">
        <f>K32+M32+N32+O32+P32</f>
        <v>845250</v>
      </c>
      <c r="R32" s="393"/>
      <c r="S32" s="383"/>
      <c r="T32" s="383"/>
      <c r="U32" s="383"/>
    </row>
    <row r="33" spans="1:21" ht="24" outlineLevel="1">
      <c r="A33" s="386" t="s">
        <v>1253</v>
      </c>
      <c r="B33" s="387">
        <v>11760000</v>
      </c>
      <c r="C33" s="392"/>
      <c r="D33" s="392"/>
      <c r="E33" s="387">
        <v>826300</v>
      </c>
      <c r="F33" s="387">
        <v>597600</v>
      </c>
      <c r="G33" s="387">
        <v>891700</v>
      </c>
      <c r="H33" s="387">
        <v>493800</v>
      </c>
      <c r="I33" s="387">
        <v>482700</v>
      </c>
      <c r="J33" s="387">
        <v>531000</v>
      </c>
      <c r="K33" s="387">
        <f>SUM(C33:J33)</f>
        <v>3823100</v>
      </c>
      <c r="L33" s="388">
        <f t="shared" ref="L33" si="22">K33-C33-D33-E33-F33-G33-H33-I33-J33</f>
        <v>0</v>
      </c>
      <c r="M33" s="387">
        <v>590800</v>
      </c>
      <c r="N33" s="387">
        <v>1000000</v>
      </c>
      <c r="O33" s="387">
        <v>1000000</v>
      </c>
      <c r="P33" s="387">
        <v>1000000</v>
      </c>
      <c r="Q33" s="409">
        <f>K33+M33+N33+O33+P33</f>
        <v>7413900</v>
      </c>
      <c r="R33" s="393"/>
      <c r="S33" s="383"/>
      <c r="T33" s="383"/>
      <c r="U33" s="383"/>
    </row>
    <row r="34" spans="1:21">
      <c r="A34" s="380" t="s">
        <v>1254</v>
      </c>
      <c r="B34" s="380"/>
      <c r="C34" s="381">
        <f>SUM(C35:C36)</f>
        <v>106444.8</v>
      </c>
      <c r="D34" s="381">
        <f t="shared" ref="D34:J34" si="23">SUM(D35:D36)</f>
        <v>106444.8</v>
      </c>
      <c r="E34" s="381">
        <f t="shared" si="23"/>
        <v>106444.8</v>
      </c>
      <c r="F34" s="381">
        <f t="shared" si="23"/>
        <v>106444.8</v>
      </c>
      <c r="G34" s="381">
        <f t="shared" si="23"/>
        <v>106444.8</v>
      </c>
      <c r="H34" s="381">
        <f t="shared" si="23"/>
        <v>106444.8</v>
      </c>
      <c r="I34" s="381">
        <f t="shared" si="23"/>
        <v>106444.8</v>
      </c>
      <c r="J34" s="381">
        <f t="shared" si="23"/>
        <v>106444.8</v>
      </c>
      <c r="K34" s="381">
        <v>851558.40000000002</v>
      </c>
      <c r="L34" s="382">
        <f>K34-C34-D34-E34-F34-G34-H34-I34-J34</f>
        <v>0</v>
      </c>
      <c r="M34" s="381">
        <f t="shared" ref="M34" si="24">SUM(M35:M36)</f>
        <v>106444.8</v>
      </c>
      <c r="N34" s="381">
        <f t="shared" ref="N34:Q34" si="25">SUM(N35:N36)</f>
        <v>106444.8</v>
      </c>
      <c r="O34" s="381">
        <f t="shared" si="25"/>
        <v>106444.8</v>
      </c>
      <c r="P34" s="381">
        <f t="shared" si="25"/>
        <v>106444.8</v>
      </c>
      <c r="Q34" s="408">
        <f t="shared" si="25"/>
        <v>1277337.6000000003</v>
      </c>
      <c r="R34" s="385">
        <f t="shared" si="17"/>
        <v>851.55840000000001</v>
      </c>
      <c r="S34" s="383"/>
      <c r="T34" s="383"/>
      <c r="U34" s="383"/>
    </row>
    <row r="35" spans="1:21" ht="24" outlineLevel="1">
      <c r="A35" s="386" t="s">
        <v>1241</v>
      </c>
      <c r="B35" s="387">
        <v>212889.60000000001</v>
      </c>
      <c r="C35" s="387">
        <v>106444.8</v>
      </c>
      <c r="D35" s="387">
        <v>106444.8</v>
      </c>
      <c r="E35" s="387" t="s">
        <v>1069</v>
      </c>
      <c r="F35" s="387"/>
      <c r="G35" s="387"/>
      <c r="H35" s="387"/>
      <c r="I35" s="387"/>
      <c r="J35" s="387"/>
      <c r="K35" s="387">
        <f>SUM(C35:J35)</f>
        <v>212889.60000000001</v>
      </c>
      <c r="L35" s="388">
        <f>K35-C35-D35</f>
        <v>0</v>
      </c>
      <c r="M35" s="387"/>
      <c r="N35" s="387"/>
      <c r="O35" s="387"/>
      <c r="P35" s="387"/>
      <c r="Q35" s="409">
        <f>K35+M35+N35+O35+P35</f>
        <v>212889.60000000001</v>
      </c>
      <c r="R35" s="393"/>
      <c r="S35" s="383"/>
      <c r="T35" s="383"/>
      <c r="U35" s="383"/>
    </row>
    <row r="36" spans="1:21" ht="24" outlineLevel="1">
      <c r="A36" s="386" t="s">
        <v>1255</v>
      </c>
      <c r="B36" s="387">
        <v>1610701.89</v>
      </c>
      <c r="C36" s="392"/>
      <c r="D36" s="392"/>
      <c r="E36" s="387">
        <v>106444.8</v>
      </c>
      <c r="F36" s="387">
        <v>106444.8</v>
      </c>
      <c r="G36" s="387">
        <v>106444.8</v>
      </c>
      <c r="H36" s="387">
        <v>106444.8</v>
      </c>
      <c r="I36" s="387">
        <v>106444.8</v>
      </c>
      <c r="J36" s="387">
        <v>106444.8</v>
      </c>
      <c r="K36" s="387">
        <f>SUM(C36:J36)</f>
        <v>638668.80000000005</v>
      </c>
      <c r="L36" s="388">
        <f>K36-C36-D36-E36-F36-G36-H36-I36-J36</f>
        <v>0</v>
      </c>
      <c r="M36" s="387">
        <f>$K36/6</f>
        <v>106444.8</v>
      </c>
      <c r="N36" s="387">
        <f t="shared" ref="N36:P36" si="26">$K36/6</f>
        <v>106444.8</v>
      </c>
      <c r="O36" s="387">
        <f t="shared" si="26"/>
        <v>106444.8</v>
      </c>
      <c r="P36" s="387">
        <f t="shared" si="26"/>
        <v>106444.8</v>
      </c>
      <c r="Q36" s="409">
        <f>K36+M36+N36+O36+P36</f>
        <v>1064448.0000000002</v>
      </c>
      <c r="R36" s="393"/>
      <c r="S36" s="383"/>
      <c r="T36" s="383"/>
      <c r="U36" s="383"/>
    </row>
    <row r="37" spans="1:21">
      <c r="A37" s="380" t="s">
        <v>1256</v>
      </c>
      <c r="B37" s="380"/>
      <c r="C37" s="381">
        <f>SUM(C38:C48)</f>
        <v>0</v>
      </c>
      <c r="D37" s="381">
        <f t="shared" ref="D37:J37" si="27">SUM(D38:D48)</f>
        <v>0</v>
      </c>
      <c r="E37" s="381">
        <f t="shared" si="27"/>
        <v>169000</v>
      </c>
      <c r="F37" s="381">
        <f t="shared" si="27"/>
        <v>0</v>
      </c>
      <c r="G37" s="381">
        <f t="shared" si="27"/>
        <v>1151488</v>
      </c>
      <c r="H37" s="381">
        <f t="shared" si="27"/>
        <v>169000</v>
      </c>
      <c r="I37" s="381">
        <f t="shared" si="27"/>
        <v>1113180</v>
      </c>
      <c r="J37" s="381">
        <f t="shared" si="27"/>
        <v>869204.3</v>
      </c>
      <c r="K37" s="385">
        <v>3471872.3</v>
      </c>
      <c r="L37" s="382">
        <f>K37-C37-D37-E37-F37-G37-H37-I37-J37</f>
        <v>0</v>
      </c>
      <c r="M37" s="381">
        <f t="shared" ref="M37" si="28">SUM(M38:M48)</f>
        <v>0</v>
      </c>
      <c r="N37" s="381">
        <f t="shared" ref="N37:Q37" si="29">SUM(N38:N48)</f>
        <v>0</v>
      </c>
      <c r="O37" s="381">
        <f t="shared" si="29"/>
        <v>0</v>
      </c>
      <c r="P37" s="381">
        <f t="shared" si="29"/>
        <v>0</v>
      </c>
      <c r="Q37" s="394">
        <f t="shared" si="29"/>
        <v>3471872.3</v>
      </c>
      <c r="R37" s="381">
        <f t="shared" si="17"/>
        <v>3471.8723</v>
      </c>
      <c r="S37" s="383"/>
      <c r="T37" s="383"/>
      <c r="U37" s="383"/>
    </row>
    <row r="38" spans="1:21" ht="36" outlineLevel="1">
      <c r="A38" s="386" t="s">
        <v>1257</v>
      </c>
      <c r="B38" s="387">
        <v>117300</v>
      </c>
      <c r="C38" s="387"/>
      <c r="D38" s="387"/>
      <c r="E38" s="387"/>
      <c r="F38" s="387"/>
      <c r="G38" s="387"/>
      <c r="H38" s="387"/>
      <c r="I38" s="387"/>
      <c r="J38" s="387">
        <v>117300</v>
      </c>
      <c r="K38" s="387">
        <f t="shared" ref="K38:K48" si="30">SUM(C38:J38)</f>
        <v>117300</v>
      </c>
      <c r="L38" s="388">
        <f t="shared" ref="L38:L48" si="31">K38-C38-D38-E38-F38-G38-H38-I38-J38</f>
        <v>0</v>
      </c>
      <c r="M38" s="381"/>
      <c r="N38" s="381"/>
      <c r="O38" s="381"/>
      <c r="P38" s="381"/>
      <c r="Q38" s="387">
        <f t="shared" ref="Q38:Q47" si="32">K38+M38+N38+O38+P38</f>
        <v>117300</v>
      </c>
      <c r="R38" s="381"/>
      <c r="S38" s="383"/>
      <c r="T38" s="383"/>
      <c r="U38" s="383"/>
    </row>
    <row r="39" spans="1:21" ht="36" outlineLevel="1">
      <c r="A39" s="386" t="s">
        <v>1258</v>
      </c>
      <c r="B39" s="387">
        <f>3718000/2</f>
        <v>1859000</v>
      </c>
      <c r="C39" s="387"/>
      <c r="D39" s="387"/>
      <c r="E39" s="387">
        <v>169000</v>
      </c>
      <c r="F39" s="387"/>
      <c r="G39" s="387">
        <v>338000</v>
      </c>
      <c r="H39" s="387">
        <v>169000</v>
      </c>
      <c r="I39" s="387">
        <v>169000</v>
      </c>
      <c r="J39" s="387">
        <v>169000</v>
      </c>
      <c r="K39" s="387">
        <f t="shared" si="30"/>
        <v>1014000</v>
      </c>
      <c r="L39" s="388">
        <f t="shared" si="31"/>
        <v>0</v>
      </c>
      <c r="M39" s="387"/>
      <c r="N39" s="387"/>
      <c r="O39" s="387"/>
      <c r="P39" s="387"/>
      <c r="Q39" s="387">
        <f t="shared" si="32"/>
        <v>1014000</v>
      </c>
      <c r="R39" s="381"/>
      <c r="S39" s="383"/>
      <c r="T39" s="383"/>
      <c r="U39" s="383"/>
    </row>
    <row r="40" spans="1:21" ht="36" outlineLevel="1">
      <c r="A40" s="386" t="s">
        <v>1259</v>
      </c>
      <c r="B40" s="387">
        <v>224000</v>
      </c>
      <c r="C40" s="387"/>
      <c r="D40" s="387"/>
      <c r="E40" s="387"/>
      <c r="F40" s="387"/>
      <c r="G40" s="387">
        <v>224000</v>
      </c>
      <c r="H40" s="387"/>
      <c r="I40" s="387"/>
      <c r="J40" s="387"/>
      <c r="K40" s="387">
        <f t="shared" si="30"/>
        <v>224000</v>
      </c>
      <c r="L40" s="388">
        <f t="shared" si="31"/>
        <v>0</v>
      </c>
      <c r="M40" s="381"/>
      <c r="N40" s="381"/>
      <c r="O40" s="381"/>
      <c r="P40" s="381"/>
      <c r="Q40" s="387">
        <f t="shared" si="32"/>
        <v>224000</v>
      </c>
      <c r="R40" s="381"/>
      <c r="S40" s="383"/>
      <c r="T40" s="383"/>
      <c r="U40" s="383"/>
    </row>
    <row r="41" spans="1:21" ht="36" outlineLevel="1">
      <c r="A41" s="386" t="s">
        <v>1260</v>
      </c>
      <c r="B41" s="387">
        <v>480200</v>
      </c>
      <c r="C41" s="387"/>
      <c r="D41" s="387"/>
      <c r="E41" s="387"/>
      <c r="F41" s="387"/>
      <c r="G41" s="387"/>
      <c r="H41" s="387"/>
      <c r="I41" s="387">
        <v>480200</v>
      </c>
      <c r="J41" s="387"/>
      <c r="K41" s="387">
        <f t="shared" si="30"/>
        <v>480200</v>
      </c>
      <c r="L41" s="388">
        <f t="shared" si="31"/>
        <v>0</v>
      </c>
      <c r="M41" s="381"/>
      <c r="N41" s="381"/>
      <c r="O41" s="381"/>
      <c r="P41" s="381"/>
      <c r="Q41" s="387">
        <f t="shared" si="32"/>
        <v>480200</v>
      </c>
      <c r="R41" s="381"/>
      <c r="S41" s="383"/>
      <c r="T41" s="383"/>
      <c r="U41" s="383"/>
    </row>
    <row r="42" spans="1:21" ht="36" outlineLevel="1">
      <c r="A42" s="386" t="s">
        <v>1261</v>
      </c>
      <c r="B42" s="387">
        <v>360000</v>
      </c>
      <c r="C42" s="387"/>
      <c r="D42" s="387"/>
      <c r="E42" s="387"/>
      <c r="F42" s="387"/>
      <c r="G42" s="387">
        <v>360000</v>
      </c>
      <c r="H42" s="387"/>
      <c r="I42" s="387"/>
      <c r="J42" s="387"/>
      <c r="K42" s="387">
        <f t="shared" si="30"/>
        <v>360000</v>
      </c>
      <c r="L42" s="388">
        <f t="shared" si="31"/>
        <v>0</v>
      </c>
      <c r="M42" s="381"/>
      <c r="N42" s="381"/>
      <c r="O42" s="381"/>
      <c r="P42" s="381"/>
      <c r="Q42" s="387">
        <f t="shared" si="32"/>
        <v>360000</v>
      </c>
      <c r="R42" s="381"/>
      <c r="S42" s="383"/>
      <c r="T42" s="383"/>
      <c r="U42" s="383"/>
    </row>
    <row r="43" spans="1:21" ht="36" outlineLevel="1">
      <c r="A43" s="386" t="s">
        <v>1262</v>
      </c>
      <c r="B43" s="387">
        <v>131490</v>
      </c>
      <c r="C43" s="387"/>
      <c r="D43" s="387"/>
      <c r="E43" s="387"/>
      <c r="F43" s="387"/>
      <c r="G43" s="387"/>
      <c r="H43" s="387"/>
      <c r="I43" s="387"/>
      <c r="J43" s="387">
        <v>131490</v>
      </c>
      <c r="K43" s="387">
        <f t="shared" si="30"/>
        <v>131490</v>
      </c>
      <c r="L43" s="388">
        <f t="shared" si="31"/>
        <v>0</v>
      </c>
      <c r="M43" s="381"/>
      <c r="N43" s="381"/>
      <c r="O43" s="381"/>
      <c r="P43" s="381"/>
      <c r="Q43" s="387">
        <f t="shared" si="32"/>
        <v>131490</v>
      </c>
      <c r="R43" s="381"/>
      <c r="S43" s="383"/>
      <c r="T43" s="383"/>
      <c r="U43" s="383"/>
    </row>
    <row r="44" spans="1:21" ht="36" outlineLevel="1">
      <c r="A44" s="386" t="s">
        <v>1263</v>
      </c>
      <c r="B44" s="387">
        <v>184990</v>
      </c>
      <c r="C44" s="387"/>
      <c r="D44" s="387"/>
      <c r="E44" s="387"/>
      <c r="F44" s="387"/>
      <c r="G44" s="387"/>
      <c r="H44" s="387"/>
      <c r="I44" s="387"/>
      <c r="J44" s="387">
        <v>184990</v>
      </c>
      <c r="K44" s="387">
        <f t="shared" si="30"/>
        <v>184990</v>
      </c>
      <c r="L44" s="388">
        <f t="shared" si="31"/>
        <v>0</v>
      </c>
      <c r="M44" s="381"/>
      <c r="N44" s="381"/>
      <c r="O44" s="381"/>
      <c r="P44" s="381"/>
      <c r="Q44" s="387">
        <f t="shared" si="32"/>
        <v>184990</v>
      </c>
      <c r="R44" s="381"/>
      <c r="S44" s="383"/>
      <c r="T44" s="383"/>
      <c r="U44" s="383"/>
    </row>
    <row r="45" spans="1:21" ht="36" outlineLevel="1">
      <c r="A45" s="386" t="s">
        <v>1264</v>
      </c>
      <c r="B45" s="387">
        <v>229488</v>
      </c>
      <c r="C45" s="387"/>
      <c r="D45" s="387"/>
      <c r="E45" s="387"/>
      <c r="F45" s="387"/>
      <c r="G45" s="387">
        <v>229488</v>
      </c>
      <c r="H45" s="387"/>
      <c r="I45" s="387"/>
      <c r="J45" s="387"/>
      <c r="K45" s="387">
        <f t="shared" si="30"/>
        <v>229488</v>
      </c>
      <c r="L45" s="388">
        <f t="shared" si="31"/>
        <v>0</v>
      </c>
      <c r="M45" s="381"/>
      <c r="N45" s="381"/>
      <c r="O45" s="381"/>
      <c r="P45" s="381"/>
      <c r="Q45" s="387">
        <f t="shared" si="32"/>
        <v>229488</v>
      </c>
      <c r="R45" s="381"/>
      <c r="S45" s="383"/>
      <c r="T45" s="383"/>
      <c r="U45" s="383"/>
    </row>
    <row r="46" spans="1:21" ht="36" outlineLevel="1">
      <c r="A46" s="386" t="s">
        <v>1265</v>
      </c>
      <c r="B46" s="387">
        <v>100228.8</v>
      </c>
      <c r="C46" s="387"/>
      <c r="D46" s="387"/>
      <c r="E46" s="387"/>
      <c r="F46" s="387"/>
      <c r="G46" s="387"/>
      <c r="H46" s="387"/>
      <c r="I46" s="387"/>
      <c r="J46" s="387">
        <v>100228.8</v>
      </c>
      <c r="K46" s="387">
        <f t="shared" si="30"/>
        <v>100228.8</v>
      </c>
      <c r="L46" s="388">
        <f t="shared" si="31"/>
        <v>0</v>
      </c>
      <c r="M46" s="381"/>
      <c r="N46" s="381"/>
      <c r="O46" s="381"/>
      <c r="P46" s="381"/>
      <c r="Q46" s="387">
        <f t="shared" si="32"/>
        <v>100228.8</v>
      </c>
      <c r="R46" s="381"/>
      <c r="S46" s="383"/>
      <c r="T46" s="383"/>
      <c r="U46" s="383"/>
    </row>
    <row r="47" spans="1:21" ht="36" outlineLevel="1">
      <c r="A47" s="386" t="s">
        <v>1266</v>
      </c>
      <c r="B47" s="387">
        <f>3091200/2</f>
        <v>1545600</v>
      </c>
      <c r="C47" s="387"/>
      <c r="D47" s="387"/>
      <c r="E47" s="387"/>
      <c r="F47" s="387"/>
      <c r="G47" s="387"/>
      <c r="H47" s="387"/>
      <c r="I47" s="387"/>
      <c r="J47" s="387">
        <v>166195.5</v>
      </c>
      <c r="K47" s="387">
        <f t="shared" si="30"/>
        <v>166195.5</v>
      </c>
      <c r="L47" s="388">
        <f t="shared" si="31"/>
        <v>0</v>
      </c>
      <c r="M47" s="381"/>
      <c r="N47" s="381"/>
      <c r="O47" s="381"/>
      <c r="P47" s="381"/>
      <c r="Q47" s="387">
        <f t="shared" si="32"/>
        <v>166195.5</v>
      </c>
      <c r="R47" s="381"/>
      <c r="S47" s="383"/>
      <c r="T47" s="383"/>
      <c r="U47" s="383"/>
    </row>
    <row r="48" spans="1:21" ht="36" outlineLevel="2">
      <c r="A48" s="386" t="s">
        <v>1267</v>
      </c>
      <c r="B48" s="387">
        <v>463980</v>
      </c>
      <c r="C48" s="387"/>
      <c r="D48" s="387"/>
      <c r="E48" s="387"/>
      <c r="F48" s="387"/>
      <c r="G48" s="387"/>
      <c r="H48" s="387"/>
      <c r="I48" s="387">
        <v>463980</v>
      </c>
      <c r="J48" s="387"/>
      <c r="K48" s="387">
        <f t="shared" si="30"/>
        <v>463980</v>
      </c>
      <c r="L48" s="388">
        <f t="shared" si="31"/>
        <v>0</v>
      </c>
      <c r="M48" s="387"/>
      <c r="N48" s="387"/>
      <c r="O48" s="387"/>
      <c r="P48" s="387"/>
      <c r="Q48" s="387">
        <f>K48+M48+N48+O48+P48</f>
        <v>463980</v>
      </c>
      <c r="R48" s="381"/>
      <c r="S48" s="383"/>
      <c r="T48" s="383"/>
      <c r="U48" s="383"/>
    </row>
    <row r="49" spans="1:22">
      <c r="A49" s="380" t="s">
        <v>1268</v>
      </c>
      <c r="B49" s="380"/>
      <c r="C49" s="380"/>
      <c r="D49" s="380"/>
      <c r="E49" s="380"/>
      <c r="F49" s="380"/>
      <c r="G49" s="380"/>
      <c r="H49" s="380"/>
      <c r="I49" s="380"/>
      <c r="J49" s="380"/>
      <c r="K49" s="381">
        <v>2548885.17</v>
      </c>
      <c r="L49" s="382"/>
      <c r="M49" s="381"/>
      <c r="N49" s="381"/>
      <c r="O49" s="381"/>
      <c r="P49" s="381"/>
      <c r="Q49" s="381"/>
      <c r="R49" s="385">
        <f t="shared" si="17"/>
        <v>2548.88517</v>
      </c>
      <c r="S49" s="383"/>
      <c r="T49" s="383"/>
      <c r="U49" s="383"/>
    </row>
    <row r="50" spans="1:22">
      <c r="A50" s="380" t="s">
        <v>1269</v>
      </c>
      <c r="B50" s="380"/>
      <c r="C50" s="381">
        <f>SUM(C51:C52)</f>
        <v>8714448.8000000007</v>
      </c>
      <c r="D50" s="381">
        <f t="shared" ref="D50:J50" si="33">SUM(D51:D52)</f>
        <v>8714448.8000000007</v>
      </c>
      <c r="E50" s="381">
        <f t="shared" si="33"/>
        <v>8714448.8000000007</v>
      </c>
      <c r="F50" s="381">
        <f t="shared" si="33"/>
        <v>8714448.8000000007</v>
      </c>
      <c r="G50" s="381">
        <f t="shared" si="33"/>
        <v>8714448.8000000007</v>
      </c>
      <c r="H50" s="381">
        <f t="shared" si="33"/>
        <v>8714448.8000000007</v>
      </c>
      <c r="I50" s="381">
        <f t="shared" si="33"/>
        <v>8714448.8000000007</v>
      </c>
      <c r="J50" s="381">
        <f t="shared" si="33"/>
        <v>8714448.8000000007</v>
      </c>
      <c r="K50" s="381">
        <v>69715590.400000006</v>
      </c>
      <c r="L50" s="382">
        <f>K50-C50-D50-E50-F50-G50-H50-I50-J50</f>
        <v>1.4901161193847656E-8</v>
      </c>
      <c r="M50" s="381">
        <f t="shared" ref="M50" si="34">SUM(M51:M52)</f>
        <v>8714448.8000000007</v>
      </c>
      <c r="N50" s="381">
        <f t="shared" ref="N50:P50" si="35">SUM(N51:N52)</f>
        <v>8714448.8000000007</v>
      </c>
      <c r="O50" s="381">
        <f t="shared" si="35"/>
        <v>8714448.8000000007</v>
      </c>
      <c r="P50" s="381">
        <f t="shared" si="35"/>
        <v>8714448.8000000007</v>
      </c>
      <c r="Q50" s="408">
        <f>SUM(Q51:Q52)</f>
        <v>104573385.59999999</v>
      </c>
      <c r="R50" s="385">
        <f t="shared" si="17"/>
        <v>69715.590400000001</v>
      </c>
      <c r="S50" s="383"/>
      <c r="T50" s="383"/>
      <c r="U50" s="383"/>
    </row>
    <row r="51" spans="1:22" ht="24" outlineLevel="1">
      <c r="A51" s="386" t="s">
        <v>1270</v>
      </c>
      <c r="B51" s="387">
        <f>172416000*57.62/100</f>
        <v>99346099.200000003</v>
      </c>
      <c r="C51" s="387">
        <f>$B$51/12</f>
        <v>8278841.6000000006</v>
      </c>
      <c r="D51" s="387">
        <f t="shared" ref="D51:J51" si="36">$B$51/12</f>
        <v>8278841.6000000006</v>
      </c>
      <c r="E51" s="387">
        <f t="shared" si="36"/>
        <v>8278841.6000000006</v>
      </c>
      <c r="F51" s="387">
        <f t="shared" si="36"/>
        <v>8278841.6000000006</v>
      </c>
      <c r="G51" s="387">
        <f t="shared" si="36"/>
        <v>8278841.6000000006</v>
      </c>
      <c r="H51" s="387">
        <f t="shared" si="36"/>
        <v>8278841.6000000006</v>
      </c>
      <c r="I51" s="387">
        <f t="shared" si="36"/>
        <v>8278841.6000000006</v>
      </c>
      <c r="J51" s="387">
        <f t="shared" si="36"/>
        <v>8278841.6000000006</v>
      </c>
      <c r="K51" s="387">
        <f>SUM(C51:J51)</f>
        <v>66230732.800000004</v>
      </c>
      <c r="L51" s="388">
        <f>K51-C51-D51-E51-F51-G51-H51-I51-J51</f>
        <v>0</v>
      </c>
      <c r="M51" s="387">
        <f>J51</f>
        <v>8278841.6000000006</v>
      </c>
      <c r="N51" s="387">
        <f>M51</f>
        <v>8278841.6000000006</v>
      </c>
      <c r="O51" s="387">
        <f t="shared" ref="O51:P52" si="37">N51</f>
        <v>8278841.6000000006</v>
      </c>
      <c r="P51" s="387">
        <f t="shared" si="37"/>
        <v>8278841.6000000006</v>
      </c>
      <c r="Q51" s="409">
        <f>K51+M51+N51+O51+P51</f>
        <v>99346099.199999988</v>
      </c>
      <c r="R51" s="393"/>
      <c r="S51" s="383"/>
      <c r="T51" s="383"/>
      <c r="U51" s="383"/>
    </row>
    <row r="52" spans="1:22" ht="24" outlineLevel="1">
      <c r="A52" s="386" t="s">
        <v>1271</v>
      </c>
      <c r="B52" s="387">
        <f>9072000*57.62/100</f>
        <v>5227286.4000000004</v>
      </c>
      <c r="C52" s="387">
        <f>$B$52/12</f>
        <v>435607.2</v>
      </c>
      <c r="D52" s="387">
        <f t="shared" ref="D52:J52" si="38">$B$52/12</f>
        <v>435607.2</v>
      </c>
      <c r="E52" s="387">
        <f t="shared" si="38"/>
        <v>435607.2</v>
      </c>
      <c r="F52" s="387">
        <f t="shared" si="38"/>
        <v>435607.2</v>
      </c>
      <c r="G52" s="387">
        <f t="shared" si="38"/>
        <v>435607.2</v>
      </c>
      <c r="H52" s="387">
        <f t="shared" si="38"/>
        <v>435607.2</v>
      </c>
      <c r="I52" s="387">
        <f t="shared" si="38"/>
        <v>435607.2</v>
      </c>
      <c r="J52" s="387">
        <f t="shared" si="38"/>
        <v>435607.2</v>
      </c>
      <c r="K52" s="387">
        <f>SUM(C52:J52)</f>
        <v>3484857.6000000006</v>
      </c>
      <c r="L52" s="388">
        <f t="shared" ref="L52" si="39">K52-C52-D52-E52-F52-G52-H52-I52-J52</f>
        <v>0</v>
      </c>
      <c r="M52" s="387">
        <f>J52</f>
        <v>435607.2</v>
      </c>
      <c r="N52" s="387">
        <f>M52</f>
        <v>435607.2</v>
      </c>
      <c r="O52" s="387">
        <f t="shared" si="37"/>
        <v>435607.2</v>
      </c>
      <c r="P52" s="387">
        <f t="shared" si="37"/>
        <v>435607.2</v>
      </c>
      <c r="Q52" s="409">
        <f>K52+M52+N52+O52+P52</f>
        <v>5227286.4000000013</v>
      </c>
      <c r="R52" s="393"/>
      <c r="S52" s="383"/>
      <c r="T52" s="383"/>
      <c r="U52" s="383"/>
    </row>
    <row r="53" spans="1:22">
      <c r="A53" s="380" t="s">
        <v>1272</v>
      </c>
      <c r="B53" s="380"/>
      <c r="C53" s="381">
        <f t="shared" ref="C53:J53" si="40">SUM(C54:C54)</f>
        <v>0</v>
      </c>
      <c r="D53" s="381">
        <f t="shared" si="40"/>
        <v>133333.32999999999</v>
      </c>
      <c r="E53" s="381">
        <f t="shared" si="40"/>
        <v>233333.33</v>
      </c>
      <c r="F53" s="381">
        <f t="shared" si="40"/>
        <v>233333.33</v>
      </c>
      <c r="G53" s="381">
        <f t="shared" si="40"/>
        <v>233333.33</v>
      </c>
      <c r="H53" s="381">
        <f t="shared" si="40"/>
        <v>233333.33</v>
      </c>
      <c r="I53" s="381">
        <f t="shared" si="40"/>
        <v>233333.33</v>
      </c>
      <c r="J53" s="381">
        <f t="shared" si="40"/>
        <v>233333.33</v>
      </c>
      <c r="K53" s="381">
        <v>1299999.98</v>
      </c>
      <c r="L53" s="382">
        <f>K53-C53-D53-E53-F53-G53-H53-I53-J53</f>
        <v>-233333.32999999993</v>
      </c>
      <c r="M53" s="381">
        <f>SUM(M54:M54)</f>
        <v>233333.33</v>
      </c>
      <c r="N53" s="381">
        <f>SUM(N54:N54)</f>
        <v>233333.33</v>
      </c>
      <c r="O53" s="381">
        <f>SUM(O54:O54)</f>
        <v>233333.33</v>
      </c>
      <c r="P53" s="381">
        <f>SUM(P54:P54)</f>
        <v>233333.33</v>
      </c>
      <c r="Q53" s="408">
        <f>SUM(Q54:Q54)</f>
        <v>2466666.6300000004</v>
      </c>
      <c r="R53" s="385">
        <f t="shared" si="17"/>
        <v>1299.9999800000001</v>
      </c>
      <c r="S53" s="383"/>
      <c r="T53" s="383"/>
      <c r="U53" s="383"/>
    </row>
    <row r="54" spans="1:22" ht="24" outlineLevel="1">
      <c r="A54" s="386" t="s">
        <v>1273</v>
      </c>
      <c r="B54" s="387">
        <v>2466666.67</v>
      </c>
      <c r="C54" s="387"/>
      <c r="D54" s="387">
        <v>133333.32999999999</v>
      </c>
      <c r="E54" s="387">
        <v>233333.33</v>
      </c>
      <c r="F54" s="387">
        <v>233333.33</v>
      </c>
      <c r="G54" s="387">
        <v>233333.33</v>
      </c>
      <c r="H54" s="387">
        <v>233333.33</v>
      </c>
      <c r="I54" s="387">
        <v>233333.33</v>
      </c>
      <c r="J54" s="387">
        <v>233333.33</v>
      </c>
      <c r="K54" s="387">
        <f>SUM(C54:J54)</f>
        <v>1533333.31</v>
      </c>
      <c r="L54" s="388">
        <f t="shared" ref="L54" si="41">K54-C54-D54-E54-F54-G54-H54-I54-J54</f>
        <v>0</v>
      </c>
      <c r="M54" s="387">
        <v>233333.33</v>
      </c>
      <c r="N54" s="387">
        <v>233333.33</v>
      </c>
      <c r="O54" s="387">
        <v>233333.33</v>
      </c>
      <c r="P54" s="387">
        <v>233333.33</v>
      </c>
      <c r="Q54" s="409">
        <f>K54+M54+N54+O54+P54</f>
        <v>2466666.6300000004</v>
      </c>
      <c r="R54" s="393"/>
      <c r="S54" s="383"/>
      <c r="T54" s="383"/>
      <c r="U54" s="383"/>
    </row>
    <row r="55" spans="1:22">
      <c r="A55" s="395" t="s">
        <v>1274</v>
      </c>
      <c r="B55" s="380"/>
      <c r="C55" s="381">
        <f>SUM(C56:C57)</f>
        <v>41201.03</v>
      </c>
      <c r="D55" s="381">
        <f t="shared" ref="D55:J55" si="42">SUM(D56:D57)</f>
        <v>41201.03</v>
      </c>
      <c r="E55" s="381">
        <f t="shared" si="42"/>
        <v>385943.6</v>
      </c>
      <c r="F55" s="381">
        <f t="shared" si="42"/>
        <v>385943.6</v>
      </c>
      <c r="G55" s="381">
        <f t="shared" si="42"/>
        <v>385943.6</v>
      </c>
      <c r="H55" s="381">
        <f t="shared" si="42"/>
        <v>385943.6</v>
      </c>
      <c r="I55" s="381">
        <f t="shared" si="42"/>
        <v>385943.6</v>
      </c>
      <c r="J55" s="381">
        <f t="shared" si="42"/>
        <v>385943.6</v>
      </c>
      <c r="K55" s="381">
        <v>2398063.65</v>
      </c>
      <c r="L55" s="382">
        <f>K55-C55-D55-E55-F55-G55-H55-I55-J55</f>
        <v>-9.9999998928979039E-3</v>
      </c>
      <c r="M55" s="381">
        <f t="shared" ref="M55" si="43">SUM(M56:M57)</f>
        <v>385943.60000000003</v>
      </c>
      <c r="N55" s="381">
        <f t="shared" ref="N55:Q55" si="44">SUM(N56:N57)</f>
        <v>385943.60000000003</v>
      </c>
      <c r="O55" s="381">
        <f t="shared" si="44"/>
        <v>385943.60000000003</v>
      </c>
      <c r="P55" s="381">
        <f t="shared" si="44"/>
        <v>385943.60000000003</v>
      </c>
      <c r="Q55" s="385">
        <f t="shared" si="44"/>
        <v>3941838.0600000005</v>
      </c>
      <c r="R55" s="385">
        <f t="shared" si="17"/>
        <v>2398.0636500000001</v>
      </c>
      <c r="S55" s="383"/>
      <c r="T55" s="383"/>
      <c r="U55" s="383"/>
    </row>
    <row r="56" spans="1:22" outlineLevel="1">
      <c r="A56" s="380"/>
      <c r="B56" s="380"/>
      <c r="C56" s="387">
        <v>41201.03</v>
      </c>
      <c r="D56" s="387">
        <v>41201.03</v>
      </c>
      <c r="E56" s="387"/>
      <c r="F56" s="387"/>
      <c r="G56" s="387"/>
      <c r="H56" s="387"/>
      <c r="I56" s="387"/>
      <c r="J56" s="387"/>
      <c r="K56" s="387">
        <f>SUM(C56:J56)</f>
        <v>82402.06</v>
      </c>
      <c r="L56" s="388">
        <f t="shared" ref="L56:L57" si="45">K56-C56-D56-E56-F56-G56-H56-I56-J56</f>
        <v>0</v>
      </c>
      <c r="M56" s="387"/>
      <c r="N56" s="387"/>
      <c r="O56" s="387"/>
      <c r="P56" s="387"/>
      <c r="Q56" s="387">
        <f>K56+M56+N56+O56+P56</f>
        <v>82402.06</v>
      </c>
      <c r="R56" s="393"/>
      <c r="S56" s="383"/>
      <c r="T56" s="383"/>
      <c r="U56" s="383"/>
    </row>
    <row r="57" spans="1:22" outlineLevel="1">
      <c r="A57" s="380"/>
      <c r="B57" s="380"/>
      <c r="C57" s="392"/>
      <c r="D57" s="392"/>
      <c r="E57" s="387">
        <v>385943.6</v>
      </c>
      <c r="F57" s="387">
        <v>385943.6</v>
      </c>
      <c r="G57" s="387">
        <v>385943.6</v>
      </c>
      <c r="H57" s="387">
        <v>385943.6</v>
      </c>
      <c r="I57" s="387">
        <v>385943.6</v>
      </c>
      <c r="J57" s="387">
        <v>385943.6</v>
      </c>
      <c r="K57" s="387">
        <f>SUM(C57:J57)</f>
        <v>2315661.6</v>
      </c>
      <c r="L57" s="388">
        <f t="shared" si="45"/>
        <v>0</v>
      </c>
      <c r="M57" s="387">
        <f>$K57/6</f>
        <v>385943.60000000003</v>
      </c>
      <c r="N57" s="387">
        <f t="shared" ref="N57:P57" si="46">$K57/6</f>
        <v>385943.60000000003</v>
      </c>
      <c r="O57" s="387">
        <f t="shared" si="46"/>
        <v>385943.60000000003</v>
      </c>
      <c r="P57" s="387">
        <f t="shared" si="46"/>
        <v>385943.60000000003</v>
      </c>
      <c r="Q57" s="387">
        <f>K57+M57+N57+O57+P57</f>
        <v>3859436.0000000005</v>
      </c>
      <c r="R57" s="393"/>
      <c r="S57" s="383"/>
      <c r="T57" s="383"/>
      <c r="U57" s="383"/>
    </row>
    <row r="58" spans="1:22">
      <c r="A58" s="380" t="s">
        <v>1275</v>
      </c>
      <c r="B58" s="380"/>
      <c r="C58" s="380"/>
      <c r="D58" s="380"/>
      <c r="E58" s="380"/>
      <c r="F58" s="380"/>
      <c r="G58" s="380"/>
      <c r="H58" s="380"/>
      <c r="I58" s="380"/>
      <c r="J58" s="380"/>
      <c r="K58" s="381">
        <v>3450000</v>
      </c>
      <c r="L58" s="382"/>
      <c r="M58" s="381"/>
      <c r="N58" s="381"/>
      <c r="O58" s="381"/>
      <c r="P58" s="381"/>
      <c r="Q58" s="381"/>
      <c r="R58" s="381">
        <f t="shared" si="17"/>
        <v>3450</v>
      </c>
      <c r="S58" s="383"/>
      <c r="T58" s="383"/>
      <c r="U58" s="383"/>
    </row>
    <row r="59" spans="1:22">
      <c r="A59" s="380" t="s">
        <v>1276</v>
      </c>
      <c r="B59" s="380"/>
      <c r="C59" s="380"/>
      <c r="D59" s="380"/>
      <c r="E59" s="380"/>
      <c r="F59" s="380"/>
      <c r="G59" s="380"/>
      <c r="H59" s="380"/>
      <c r="I59" s="380"/>
      <c r="J59" s="380"/>
      <c r="K59" s="381">
        <v>1619179.35</v>
      </c>
      <c r="L59" s="382"/>
      <c r="M59" s="381"/>
      <c r="N59" s="381"/>
      <c r="O59" s="381"/>
      <c r="P59" s="381"/>
      <c r="Q59" s="381"/>
      <c r="R59" s="385">
        <f t="shared" si="17"/>
        <v>1619.1793500000001</v>
      </c>
      <c r="S59" s="383"/>
      <c r="T59" s="383"/>
      <c r="U59" s="383"/>
    </row>
    <row r="60" spans="1:22">
      <c r="A60" s="380" t="s">
        <v>1277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1">
        <v>94412</v>
      </c>
      <c r="L60" s="382"/>
      <c r="M60" s="381"/>
      <c r="N60" s="381"/>
      <c r="O60" s="381"/>
      <c r="P60" s="381"/>
      <c r="Q60" s="381"/>
      <c r="R60" s="381">
        <f t="shared" si="17"/>
        <v>94.412000000000006</v>
      </c>
      <c r="S60" s="383"/>
      <c r="T60" s="383"/>
      <c r="U60" s="383"/>
      <c r="V60" t="s">
        <v>1278</v>
      </c>
    </row>
    <row r="61" spans="1:22">
      <c r="A61" s="380" t="s">
        <v>1279</v>
      </c>
      <c r="B61" s="380"/>
      <c r="C61" s="380"/>
      <c r="D61" s="380"/>
      <c r="E61" s="380"/>
      <c r="F61" s="380"/>
      <c r="G61" s="380"/>
      <c r="H61" s="380"/>
      <c r="I61" s="380"/>
      <c r="J61" s="380"/>
      <c r="K61" s="381">
        <v>129545.84</v>
      </c>
      <c r="L61" s="382"/>
      <c r="M61" s="381"/>
      <c r="N61" s="381"/>
      <c r="O61" s="381"/>
      <c r="P61" s="381"/>
      <c r="Q61" s="381"/>
      <c r="R61" s="385">
        <f t="shared" si="17"/>
        <v>129.54584</v>
      </c>
      <c r="S61" s="383"/>
      <c r="T61" s="383"/>
      <c r="U61" s="383"/>
    </row>
    <row r="62" spans="1:22">
      <c r="A62" s="380" t="s">
        <v>1280</v>
      </c>
      <c r="B62" s="380"/>
      <c r="C62" s="380"/>
      <c r="D62" s="380"/>
      <c r="E62" s="380"/>
      <c r="F62" s="380"/>
      <c r="G62" s="380"/>
      <c r="H62" s="380"/>
      <c r="I62" s="380"/>
      <c r="J62" s="380"/>
      <c r="K62" s="381">
        <v>1220490.01</v>
      </c>
      <c r="L62" s="382"/>
      <c r="M62" s="381"/>
      <c r="N62" s="381"/>
      <c r="O62" s="381"/>
      <c r="P62" s="381"/>
      <c r="Q62" s="381"/>
      <c r="R62" s="385">
        <f t="shared" si="17"/>
        <v>1220.49001</v>
      </c>
      <c r="S62" s="383"/>
      <c r="T62" s="383"/>
      <c r="U62" s="383"/>
    </row>
    <row r="63" spans="1:22">
      <c r="A63" s="380" t="s">
        <v>1281</v>
      </c>
      <c r="B63" s="380"/>
      <c r="C63" s="380"/>
      <c r="D63" s="380"/>
      <c r="E63" s="380"/>
      <c r="F63" s="380"/>
      <c r="G63" s="380"/>
      <c r="H63" s="380"/>
      <c r="I63" s="380"/>
      <c r="J63" s="380"/>
      <c r="K63" s="381">
        <v>8610</v>
      </c>
      <c r="L63" s="382"/>
      <c r="M63" s="381"/>
      <c r="N63" s="381"/>
      <c r="O63" s="381"/>
      <c r="P63" s="381"/>
      <c r="Q63" s="381"/>
      <c r="R63" s="385">
        <f t="shared" si="17"/>
        <v>8.61</v>
      </c>
      <c r="S63" s="383"/>
      <c r="T63" s="383"/>
      <c r="U63" s="383"/>
    </row>
    <row r="64" spans="1:22">
      <c r="A64" s="395" t="s">
        <v>1282</v>
      </c>
      <c r="B64" s="380"/>
      <c r="C64" s="381">
        <f t="shared" ref="C64:J64" si="47">SUM(C65:C65)</f>
        <v>22977.62</v>
      </c>
      <c r="D64" s="381">
        <f t="shared" si="47"/>
        <v>22977.62</v>
      </c>
      <c r="E64" s="381">
        <f t="shared" si="47"/>
        <v>22977.62</v>
      </c>
      <c r="F64" s="381">
        <f t="shared" si="47"/>
        <v>22977.62</v>
      </c>
      <c r="G64" s="381">
        <f t="shared" si="47"/>
        <v>22977.62</v>
      </c>
      <c r="H64" s="381">
        <f t="shared" si="47"/>
        <v>22977.62</v>
      </c>
      <c r="I64" s="381">
        <f t="shared" si="47"/>
        <v>22977.62</v>
      </c>
      <c r="J64" s="381">
        <f t="shared" si="47"/>
        <v>22977.62</v>
      </c>
      <c r="K64" s="381">
        <v>183820.96</v>
      </c>
      <c r="L64" s="382">
        <f>K64-C64-D64-E64-F64-G64-H64-I64-J64</f>
        <v>0</v>
      </c>
      <c r="M64" s="381">
        <f>SUM(M65:M65)</f>
        <v>22977.62</v>
      </c>
      <c r="N64" s="381">
        <f>SUM(N65:N65)</f>
        <v>22977.62</v>
      </c>
      <c r="O64" s="381">
        <f>SUM(O65:O65)</f>
        <v>22977.62</v>
      </c>
      <c r="P64" s="381">
        <f>SUM(P65:P65)</f>
        <v>22977.62</v>
      </c>
      <c r="Q64" s="385">
        <f>SUM(Q65:Q65)</f>
        <v>275731.44</v>
      </c>
      <c r="R64" s="385">
        <f t="shared" si="17"/>
        <v>183.82095999999999</v>
      </c>
      <c r="S64" s="383"/>
      <c r="T64" s="383"/>
      <c r="U64" s="383"/>
    </row>
    <row r="65" spans="1:22" outlineLevel="1">
      <c r="A65" s="380"/>
      <c r="B65" s="380"/>
      <c r="C65" s="387">
        <v>22977.62</v>
      </c>
      <c r="D65" s="387">
        <v>22977.62</v>
      </c>
      <c r="E65" s="387">
        <v>22977.62</v>
      </c>
      <c r="F65" s="387">
        <v>22977.62</v>
      </c>
      <c r="G65" s="387">
        <v>22977.62</v>
      </c>
      <c r="H65" s="387">
        <v>22977.62</v>
      </c>
      <c r="I65" s="387">
        <v>22977.62</v>
      </c>
      <c r="J65" s="387">
        <v>22977.62</v>
      </c>
      <c r="K65" s="387">
        <f>SUM(C65:J65)</f>
        <v>183820.96</v>
      </c>
      <c r="L65" s="388">
        <f t="shared" ref="L65" si="48">K65-C65-D65-E65-F65-G65-H65-I65-J65</f>
        <v>0</v>
      </c>
      <c r="M65" s="387">
        <f>$K65/8</f>
        <v>22977.62</v>
      </c>
      <c r="N65" s="387">
        <f t="shared" ref="N65:P65" si="49">$K65/8</f>
        <v>22977.62</v>
      </c>
      <c r="O65" s="387">
        <f t="shared" si="49"/>
        <v>22977.62</v>
      </c>
      <c r="P65" s="387">
        <f t="shared" si="49"/>
        <v>22977.62</v>
      </c>
      <c r="Q65" s="387">
        <f>K65+M65+N65+O65+P65</f>
        <v>275731.44</v>
      </c>
      <c r="R65" s="393"/>
      <c r="S65" s="383"/>
      <c r="T65" s="383"/>
      <c r="U65" s="383"/>
    </row>
    <row r="66" spans="1:22">
      <c r="A66" s="380" t="s">
        <v>1283</v>
      </c>
      <c r="B66" s="380"/>
      <c r="C66" s="381">
        <f t="shared" ref="C66:J66" si="50">SUM(C67:C67)</f>
        <v>0</v>
      </c>
      <c r="D66" s="381">
        <f t="shared" si="50"/>
        <v>0</v>
      </c>
      <c r="E66" s="381">
        <f t="shared" si="50"/>
        <v>0</v>
      </c>
      <c r="F66" s="381">
        <f t="shared" si="50"/>
        <v>0</v>
      </c>
      <c r="G66" s="381">
        <f t="shared" si="50"/>
        <v>0</v>
      </c>
      <c r="H66" s="381">
        <f t="shared" si="50"/>
        <v>9000</v>
      </c>
      <c r="I66" s="381">
        <f t="shared" si="50"/>
        <v>0</v>
      </c>
      <c r="J66" s="381">
        <f t="shared" si="50"/>
        <v>0</v>
      </c>
      <c r="K66" s="381">
        <v>9000</v>
      </c>
      <c r="L66" s="382">
        <f>K66-C66-D66-E66-F66-G66-H66-I66-J66</f>
        <v>0</v>
      </c>
      <c r="M66" s="381">
        <f>SUM(M67:M67)</f>
        <v>0</v>
      </c>
      <c r="N66" s="381">
        <f>SUM(N67:N67)</f>
        <v>0</v>
      </c>
      <c r="O66" s="381">
        <f>SUM(O67:O67)</f>
        <v>0</v>
      </c>
      <c r="P66" s="381">
        <f>SUM(P67:P67)</f>
        <v>0</v>
      </c>
      <c r="Q66" s="408">
        <f>SUM(Q67:Q67)</f>
        <v>9000</v>
      </c>
      <c r="R66" s="385">
        <f t="shared" si="17"/>
        <v>9</v>
      </c>
      <c r="S66" s="383"/>
      <c r="T66" s="383"/>
      <c r="U66" s="383"/>
    </row>
    <row r="67" spans="1:22" ht="24" outlineLevel="1">
      <c r="A67" s="386" t="s">
        <v>1284</v>
      </c>
      <c r="B67" s="380"/>
      <c r="C67" s="387"/>
      <c r="D67" s="387"/>
      <c r="E67" s="387"/>
      <c r="F67" s="387"/>
      <c r="G67" s="387"/>
      <c r="H67" s="387">
        <v>9000</v>
      </c>
      <c r="I67" s="387"/>
      <c r="J67" s="387"/>
      <c r="K67" s="387">
        <f>SUM(C67:J67)</f>
        <v>9000</v>
      </c>
      <c r="L67" s="388">
        <f t="shared" ref="L67" si="51">K67-C67-D67-E67-F67-G67-H67-I67-J67</f>
        <v>0</v>
      </c>
      <c r="M67" s="387"/>
      <c r="N67" s="387"/>
      <c r="O67" s="387"/>
      <c r="P67" s="387"/>
      <c r="Q67" s="409">
        <f>K67+M67+N67+O67+P67</f>
        <v>9000</v>
      </c>
      <c r="R67" s="393"/>
      <c r="S67" s="383"/>
      <c r="T67" s="383"/>
      <c r="U67" s="383"/>
    </row>
    <row r="68" spans="1:22">
      <c r="A68" s="380" t="s">
        <v>1285</v>
      </c>
      <c r="B68" s="380"/>
      <c r="C68" s="381">
        <f>SUM(C69:C72)</f>
        <v>0</v>
      </c>
      <c r="D68" s="381">
        <f t="shared" ref="D68:J68" si="52">SUM(D69:D72)</f>
        <v>0</v>
      </c>
      <c r="E68" s="381">
        <f t="shared" si="52"/>
        <v>0</v>
      </c>
      <c r="F68" s="381">
        <f t="shared" si="52"/>
        <v>34210</v>
      </c>
      <c r="G68" s="381">
        <f t="shared" si="52"/>
        <v>0</v>
      </c>
      <c r="H68" s="381">
        <f t="shared" si="52"/>
        <v>0</v>
      </c>
      <c r="I68" s="381">
        <f t="shared" si="52"/>
        <v>193737.60000000001</v>
      </c>
      <c r="J68" s="381">
        <f t="shared" si="52"/>
        <v>42000</v>
      </c>
      <c r="K68" s="381">
        <v>269947.59999999998</v>
      </c>
      <c r="L68" s="382">
        <f>K68-C68-D68-E68-F68-G68-H68-I68-J68</f>
        <v>0</v>
      </c>
      <c r="M68" s="381">
        <f t="shared" ref="M68" si="53">SUM(M69:M72)</f>
        <v>0</v>
      </c>
      <c r="N68" s="381">
        <f t="shared" ref="N68:P68" si="54">SUM(N69:N72)</f>
        <v>0</v>
      </c>
      <c r="O68" s="381">
        <f t="shared" si="54"/>
        <v>0</v>
      </c>
      <c r="P68" s="381">
        <f t="shared" si="54"/>
        <v>0</v>
      </c>
      <c r="Q68" s="394">
        <f>SUM(Q69:Q72)</f>
        <v>269947.59999999998</v>
      </c>
      <c r="R68" s="385">
        <f>K68/1000</f>
        <v>269.94759999999997</v>
      </c>
      <c r="S68" s="383"/>
      <c r="T68" s="383"/>
      <c r="U68" s="383"/>
      <c r="V68" t="s">
        <v>1286</v>
      </c>
    </row>
    <row r="69" spans="1:22" s="400" customFormat="1" ht="24" outlineLevel="1">
      <c r="A69" s="396" t="s">
        <v>1287</v>
      </c>
      <c r="B69" s="397">
        <v>208370</v>
      </c>
      <c r="C69" s="397"/>
      <c r="D69" s="397"/>
      <c r="E69" s="397"/>
      <c r="F69" s="397">
        <v>34210</v>
      </c>
      <c r="G69" s="397"/>
      <c r="H69" s="397"/>
      <c r="I69" s="397"/>
      <c r="J69" s="397"/>
      <c r="K69" s="397">
        <f t="shared" ref="K69:K72" si="55">SUM(C69:J69)</f>
        <v>34210</v>
      </c>
      <c r="L69" s="397"/>
      <c r="M69" s="397"/>
      <c r="N69" s="397"/>
      <c r="O69" s="397"/>
      <c r="P69" s="397"/>
      <c r="Q69" s="409">
        <f t="shared" ref="Q69:Q72" si="56">K69+M69+N69+O69+P69</f>
        <v>34210</v>
      </c>
      <c r="R69" s="398"/>
      <c r="S69" s="399"/>
      <c r="T69" s="399"/>
      <c r="U69" s="399"/>
    </row>
    <row r="70" spans="1:22" ht="24" outlineLevel="1">
      <c r="A70" s="386" t="s">
        <v>1288</v>
      </c>
      <c r="B70" s="387">
        <v>120960</v>
      </c>
      <c r="C70" s="387"/>
      <c r="D70" s="387"/>
      <c r="E70" s="387"/>
      <c r="F70" s="387"/>
      <c r="G70" s="387"/>
      <c r="H70" s="387"/>
      <c r="I70" s="387">
        <f>120960</f>
        <v>120960</v>
      </c>
      <c r="J70" s="387"/>
      <c r="K70" s="387">
        <f t="shared" si="55"/>
        <v>120960</v>
      </c>
      <c r="L70" s="387"/>
      <c r="M70" s="387"/>
      <c r="N70" s="387"/>
      <c r="O70" s="387"/>
      <c r="P70" s="387"/>
      <c r="Q70" s="409">
        <f t="shared" si="56"/>
        <v>120960</v>
      </c>
      <c r="R70" s="385"/>
      <c r="S70" s="383"/>
      <c r="T70" s="383"/>
      <c r="U70" s="383"/>
    </row>
    <row r="71" spans="1:22" ht="24" outlineLevel="1">
      <c r="A71" s="386" t="s">
        <v>1289</v>
      </c>
      <c r="B71" s="387">
        <v>44777.599999999999</v>
      </c>
      <c r="C71" s="387"/>
      <c r="D71" s="387"/>
      <c r="E71" s="387"/>
      <c r="F71" s="387"/>
      <c r="G71" s="387"/>
      <c r="H71" s="387"/>
      <c r="I71" s="387">
        <v>44777.599999999999</v>
      </c>
      <c r="J71" s="387"/>
      <c r="K71" s="387">
        <f t="shared" si="55"/>
        <v>44777.599999999999</v>
      </c>
      <c r="L71" s="387"/>
      <c r="M71" s="387"/>
      <c r="N71" s="387"/>
      <c r="O71" s="387"/>
      <c r="P71" s="387"/>
      <c r="Q71" s="409">
        <f t="shared" si="56"/>
        <v>44777.599999999999</v>
      </c>
      <c r="R71" s="385"/>
      <c r="S71" s="383"/>
      <c r="T71" s="383"/>
      <c r="U71" s="383"/>
    </row>
    <row r="72" spans="1:22" ht="24" outlineLevel="1">
      <c r="A72" s="386" t="s">
        <v>1290</v>
      </c>
      <c r="B72" s="387">
        <v>280000</v>
      </c>
      <c r="C72" s="387"/>
      <c r="D72" s="387"/>
      <c r="E72" s="387"/>
      <c r="F72" s="387"/>
      <c r="G72" s="387"/>
      <c r="H72" s="387"/>
      <c r="I72" s="387">
        <v>28000</v>
      </c>
      <c r="J72" s="387">
        <v>42000</v>
      </c>
      <c r="K72" s="387">
        <f t="shared" si="55"/>
        <v>70000</v>
      </c>
      <c r="L72" s="387"/>
      <c r="M72" s="387"/>
      <c r="N72" s="387"/>
      <c r="O72" s="387"/>
      <c r="P72" s="387"/>
      <c r="Q72" s="409">
        <f t="shared" si="56"/>
        <v>70000</v>
      </c>
      <c r="R72" s="385"/>
      <c r="S72" s="383"/>
      <c r="T72" s="383"/>
      <c r="U72" s="383"/>
    </row>
    <row r="73" spans="1:22">
      <c r="A73" s="380" t="s">
        <v>1291</v>
      </c>
      <c r="B73" s="380"/>
      <c r="C73" s="381">
        <f t="shared" ref="C73:J73" si="57">SUM(C74:C74)</f>
        <v>0</v>
      </c>
      <c r="D73" s="381">
        <f t="shared" si="57"/>
        <v>112365.59</v>
      </c>
      <c r="E73" s="381">
        <f t="shared" si="57"/>
        <v>91666.67</v>
      </c>
      <c r="F73" s="381">
        <f t="shared" si="57"/>
        <v>91666.67</v>
      </c>
      <c r="G73" s="381">
        <f t="shared" si="57"/>
        <v>91666.67</v>
      </c>
      <c r="H73" s="381">
        <f t="shared" si="57"/>
        <v>91666.67</v>
      </c>
      <c r="I73" s="381">
        <f t="shared" si="57"/>
        <v>91666.67</v>
      </c>
      <c r="J73" s="381">
        <f t="shared" si="57"/>
        <v>91666.67</v>
      </c>
      <c r="K73" s="381">
        <v>570698.93999999994</v>
      </c>
      <c r="L73" s="382">
        <f>K73-C73-D73-E73-F73-G73-H73-I73-J73</f>
        <v>-91666.669999999969</v>
      </c>
      <c r="M73" s="381">
        <f>SUM(M74:M74)</f>
        <v>91666.67</v>
      </c>
      <c r="N73" s="381">
        <f>SUM(N74:N74)</f>
        <v>91666.67</v>
      </c>
      <c r="O73" s="381">
        <f>SUM(O74:O74)</f>
        <v>91666.67</v>
      </c>
      <c r="P73" s="381">
        <f>SUM(P74:P74)</f>
        <v>91666.67</v>
      </c>
      <c r="Q73" s="408">
        <f>SUM(Q74:Q74)</f>
        <v>1029032.2900000002</v>
      </c>
      <c r="R73" s="385">
        <f>K73/1000</f>
        <v>570.69893999999999</v>
      </c>
      <c r="S73" s="383"/>
      <c r="T73" s="383"/>
      <c r="U73" s="383"/>
    </row>
    <row r="74" spans="1:22" ht="24" outlineLevel="1">
      <c r="A74" s="386" t="s">
        <v>1292</v>
      </c>
      <c r="B74" s="387">
        <f>[3]УПО!D3</f>
        <v>1029032.26</v>
      </c>
      <c r="C74" s="387"/>
      <c r="D74" s="387">
        <v>112365.59</v>
      </c>
      <c r="E74" s="387">
        <v>91666.67</v>
      </c>
      <c r="F74" s="387">
        <v>91666.67</v>
      </c>
      <c r="G74" s="387">
        <v>91666.67</v>
      </c>
      <c r="H74" s="387">
        <v>91666.67</v>
      </c>
      <c r="I74" s="387">
        <v>91666.67</v>
      </c>
      <c r="J74" s="387">
        <v>91666.67</v>
      </c>
      <c r="K74" s="387">
        <f>SUM(C74:J74)</f>
        <v>662365.61</v>
      </c>
      <c r="L74" s="388">
        <f t="shared" ref="L74" si="58">K74-C74-D74-E74-F74-G74-H74-I74-J74</f>
        <v>0</v>
      </c>
      <c r="M74" s="387">
        <v>91666.67</v>
      </c>
      <c r="N74" s="387">
        <v>91666.67</v>
      </c>
      <c r="O74" s="387">
        <v>91666.67</v>
      </c>
      <c r="P74" s="387">
        <v>91666.67</v>
      </c>
      <c r="Q74" s="409">
        <f>K74+M74+N74+O74+P74</f>
        <v>1029032.2900000002</v>
      </c>
      <c r="R74" s="393"/>
      <c r="S74" s="383"/>
      <c r="T74" s="383"/>
      <c r="U74" s="383"/>
    </row>
    <row r="75" spans="1:22">
      <c r="A75" s="380" t="s">
        <v>1293</v>
      </c>
      <c r="B75" s="380"/>
      <c r="C75" s="381">
        <f>SUM(C76:C77)</f>
        <v>50000</v>
      </c>
      <c r="D75" s="381">
        <f t="shared" ref="D75:J75" si="59">SUM(D76:D77)</f>
        <v>50000</v>
      </c>
      <c r="E75" s="381">
        <f t="shared" si="59"/>
        <v>74000</v>
      </c>
      <c r="F75" s="381">
        <f t="shared" si="59"/>
        <v>74000</v>
      </c>
      <c r="G75" s="381">
        <f t="shared" si="59"/>
        <v>74000</v>
      </c>
      <c r="H75" s="381">
        <f t="shared" si="59"/>
        <v>74000</v>
      </c>
      <c r="I75" s="381">
        <f t="shared" si="59"/>
        <v>74000</v>
      </c>
      <c r="J75" s="381">
        <f t="shared" si="59"/>
        <v>74000</v>
      </c>
      <c r="K75" s="381">
        <v>544000</v>
      </c>
      <c r="L75" s="382">
        <f>K75-C75-D75-E75-F75-G75-H75-I75-J75</f>
        <v>0</v>
      </c>
      <c r="M75" s="381">
        <f t="shared" ref="M75" si="60">SUM(M76:M77)</f>
        <v>74000</v>
      </c>
      <c r="N75" s="381">
        <f t="shared" ref="N75:Q75" si="61">SUM(N76:N77)</f>
        <v>74000</v>
      </c>
      <c r="O75" s="381">
        <f t="shared" si="61"/>
        <v>74000</v>
      </c>
      <c r="P75" s="381">
        <f t="shared" si="61"/>
        <v>74000</v>
      </c>
      <c r="Q75" s="408">
        <f t="shared" si="61"/>
        <v>840000</v>
      </c>
      <c r="R75" s="385">
        <f>K75/1000</f>
        <v>544</v>
      </c>
      <c r="S75" s="383"/>
      <c r="T75" s="383"/>
      <c r="U75" s="383"/>
    </row>
    <row r="76" spans="1:22" ht="24" outlineLevel="1">
      <c r="A76" s="386" t="s">
        <v>1294</v>
      </c>
      <c r="B76" s="387">
        <v>100000</v>
      </c>
      <c r="C76" s="387">
        <v>50000</v>
      </c>
      <c r="D76" s="387">
        <v>50000</v>
      </c>
      <c r="E76" s="387"/>
      <c r="F76" s="387"/>
      <c r="G76" s="387"/>
      <c r="H76" s="387"/>
      <c r="I76" s="387"/>
      <c r="J76" s="387"/>
      <c r="K76" s="387">
        <f>SUM(C76:J76)</f>
        <v>100000</v>
      </c>
      <c r="L76" s="388">
        <f>K76-C76-D76-E76-F76-G76-H76-I76-J76</f>
        <v>0</v>
      </c>
      <c r="M76" s="387"/>
      <c r="N76" s="387"/>
      <c r="O76" s="387"/>
      <c r="P76" s="387"/>
      <c r="Q76" s="409">
        <f>K76+M76+N76+O76+P76</f>
        <v>100000</v>
      </c>
      <c r="R76" s="393"/>
      <c r="S76" s="383"/>
      <c r="T76" s="383"/>
      <c r="U76" s="383"/>
    </row>
    <row r="77" spans="1:22" ht="24" outlineLevel="1">
      <c r="A77" s="386" t="s">
        <v>1295</v>
      </c>
      <c r="B77" s="387">
        <v>740000</v>
      </c>
      <c r="C77" s="392"/>
      <c r="D77" s="392"/>
      <c r="E77" s="387">
        <v>74000</v>
      </c>
      <c r="F77" s="387">
        <v>74000</v>
      </c>
      <c r="G77" s="387">
        <v>74000</v>
      </c>
      <c r="H77" s="387">
        <v>74000</v>
      </c>
      <c r="I77" s="387">
        <v>74000</v>
      </c>
      <c r="J77" s="387">
        <v>74000</v>
      </c>
      <c r="K77" s="387">
        <f>SUM(C77:J77)</f>
        <v>444000</v>
      </c>
      <c r="L77" s="388">
        <f t="shared" ref="L77" si="62">K77-C77-D77-E77-F77-G77-H77-I77-J77</f>
        <v>0</v>
      </c>
      <c r="M77" s="387">
        <f>$K77/6</f>
        <v>74000</v>
      </c>
      <c r="N77" s="387">
        <f t="shared" ref="N77:P77" si="63">$K77/6</f>
        <v>74000</v>
      </c>
      <c r="O77" s="387">
        <f t="shared" si="63"/>
        <v>74000</v>
      </c>
      <c r="P77" s="387">
        <f t="shared" si="63"/>
        <v>74000</v>
      </c>
      <c r="Q77" s="409">
        <f>K77+M77+N77+O77+P77</f>
        <v>740000</v>
      </c>
      <c r="R77" s="393"/>
      <c r="S77" s="383"/>
      <c r="T77" s="383"/>
      <c r="U77" s="383"/>
    </row>
    <row r="78" spans="1:22">
      <c r="A78" s="380" t="s">
        <v>1296</v>
      </c>
      <c r="B78" s="380"/>
      <c r="C78" s="380"/>
      <c r="D78" s="380"/>
      <c r="E78" s="380"/>
      <c r="F78" s="380"/>
      <c r="G78" s="380"/>
      <c r="H78" s="380"/>
      <c r="I78" s="380"/>
      <c r="J78" s="380"/>
      <c r="K78" s="381">
        <v>22306</v>
      </c>
      <c r="L78" s="382"/>
      <c r="M78" s="381"/>
      <c r="N78" s="381"/>
      <c r="O78" s="381"/>
      <c r="P78" s="381"/>
      <c r="Q78" s="381"/>
      <c r="R78" s="385">
        <f t="shared" si="17"/>
        <v>22.306000000000001</v>
      </c>
      <c r="S78" s="383"/>
      <c r="T78" s="383"/>
      <c r="U78" s="383"/>
    </row>
    <row r="79" spans="1:22">
      <c r="A79" s="380" t="s">
        <v>1297</v>
      </c>
      <c r="B79" s="380"/>
      <c r="C79" s="380"/>
      <c r="D79" s="380"/>
      <c r="E79" s="380"/>
      <c r="F79" s="380"/>
      <c r="G79" s="380"/>
      <c r="H79" s="380"/>
      <c r="I79" s="380"/>
      <c r="J79" s="380"/>
      <c r="K79" s="381">
        <v>4520800</v>
      </c>
      <c r="L79" s="382"/>
      <c r="M79" s="381"/>
      <c r="N79" s="381"/>
      <c r="O79" s="381"/>
      <c r="P79" s="381"/>
      <c r="Q79" s="381"/>
      <c r="R79" s="385">
        <f t="shared" si="17"/>
        <v>4520.8</v>
      </c>
      <c r="S79" s="383"/>
      <c r="T79" s="383"/>
      <c r="U79" s="383"/>
    </row>
    <row r="80" spans="1:22">
      <c r="A80" s="395" t="s">
        <v>1298</v>
      </c>
      <c r="B80" s="380"/>
      <c r="C80" s="381">
        <f t="shared" ref="C80:J80" si="64">SUM(C81:C81)</f>
        <v>3428.68</v>
      </c>
      <c r="D80" s="381">
        <f t="shared" si="64"/>
        <v>3428.68</v>
      </c>
      <c r="E80" s="381">
        <f t="shared" si="64"/>
        <v>3428.68</v>
      </c>
      <c r="F80" s="381">
        <f t="shared" si="64"/>
        <v>3428.68</v>
      </c>
      <c r="G80" s="381">
        <f t="shared" si="64"/>
        <v>3428.68</v>
      </c>
      <c r="H80" s="381">
        <f t="shared" si="64"/>
        <v>3428.68</v>
      </c>
      <c r="I80" s="381">
        <f t="shared" si="64"/>
        <v>1242.1099999999999</v>
      </c>
      <c r="J80" s="381">
        <f t="shared" si="64"/>
        <v>0</v>
      </c>
      <c r="K80" s="381">
        <v>21814.19</v>
      </c>
      <c r="L80" s="382">
        <f>K80-C80-D80-E80-F80-G80-H80-I80-J80</f>
        <v>-2.5011104298755527E-12</v>
      </c>
      <c r="M80" s="381">
        <f>SUM(M81:M81)</f>
        <v>0</v>
      </c>
      <c r="N80" s="381">
        <f>SUM(N81:N81)</f>
        <v>0</v>
      </c>
      <c r="O80" s="381">
        <f>SUM(O81:O81)</f>
        <v>0</v>
      </c>
      <c r="P80" s="381">
        <f>SUM(P81:P81)</f>
        <v>0</v>
      </c>
      <c r="Q80" s="385">
        <f>SUM(Q81:Q81)</f>
        <v>21814.19</v>
      </c>
      <c r="R80" s="385">
        <f t="shared" si="17"/>
        <v>21.81419</v>
      </c>
      <c r="S80" s="383"/>
      <c r="T80" s="383"/>
      <c r="U80" s="383"/>
    </row>
    <row r="81" spans="1:21" outlineLevel="1">
      <c r="A81" s="380"/>
      <c r="B81" s="380"/>
      <c r="C81" s="387">
        <v>3428.68</v>
      </c>
      <c r="D81" s="387">
        <v>3428.68</v>
      </c>
      <c r="E81" s="387">
        <v>3428.68</v>
      </c>
      <c r="F81" s="387">
        <v>3428.68</v>
      </c>
      <c r="G81" s="387">
        <v>3428.68</v>
      </c>
      <c r="H81" s="387">
        <v>3428.68</v>
      </c>
      <c r="I81" s="387">
        <v>1242.1099999999999</v>
      </c>
      <c r="J81" s="387"/>
      <c r="K81" s="387">
        <f>SUM(C81:J81)</f>
        <v>21814.19</v>
      </c>
      <c r="L81" s="388">
        <f t="shared" ref="L81" si="65">K81-C81-D81-E81-F81-G81-H81-I81-J81</f>
        <v>-2.5011104298755527E-12</v>
      </c>
      <c r="M81" s="387"/>
      <c r="N81" s="387"/>
      <c r="O81" s="387"/>
      <c r="P81" s="387"/>
      <c r="Q81" s="387">
        <f>K81+M81+N81+O81+P81</f>
        <v>21814.19</v>
      </c>
      <c r="R81" s="393"/>
      <c r="S81" s="383"/>
      <c r="T81" s="383"/>
      <c r="U81" s="383"/>
    </row>
    <row r="82" spans="1:21">
      <c r="A82" s="395" t="s">
        <v>1299</v>
      </c>
      <c r="B82" s="380"/>
      <c r="C82" s="381">
        <f>SUM(C83:C84)</f>
        <v>36132.730000000003</v>
      </c>
      <c r="D82" s="381">
        <f t="shared" ref="D82:J82" si="66">SUM(D83:D84)</f>
        <v>38173.82</v>
      </c>
      <c r="E82" s="381">
        <f t="shared" si="66"/>
        <v>73241.63</v>
      </c>
      <c r="F82" s="381">
        <f t="shared" si="66"/>
        <v>62531.66</v>
      </c>
      <c r="G82" s="381">
        <f t="shared" si="66"/>
        <v>62531.66</v>
      </c>
      <c r="H82" s="381">
        <f t="shared" si="66"/>
        <v>62531.66</v>
      </c>
      <c r="I82" s="381">
        <f t="shared" si="66"/>
        <v>62531.66</v>
      </c>
      <c r="J82" s="381">
        <f t="shared" si="66"/>
        <v>62531.66</v>
      </c>
      <c r="K82" s="381">
        <v>460206.48</v>
      </c>
      <c r="L82" s="382">
        <f>K82-C82-D82-E82-F82-G82-H82-I82-J82</f>
        <v>0</v>
      </c>
      <c r="M82" s="381">
        <f t="shared" ref="M82" si="67">SUM(M83:M84)</f>
        <v>62531.66</v>
      </c>
      <c r="N82" s="381">
        <f t="shared" ref="N82:Q82" si="68">SUM(N83:N84)</f>
        <v>62531.66</v>
      </c>
      <c r="O82" s="381">
        <f t="shared" si="68"/>
        <v>62531.66</v>
      </c>
      <c r="P82" s="381">
        <f t="shared" si="68"/>
        <v>62531.66</v>
      </c>
      <c r="Q82" s="385">
        <f t="shared" si="68"/>
        <v>710333.12000000023</v>
      </c>
      <c r="R82" s="381">
        <f t="shared" si="17"/>
        <v>460.20648</v>
      </c>
      <c r="S82" s="383"/>
      <c r="T82" s="383"/>
      <c r="U82" s="383"/>
    </row>
    <row r="83" spans="1:21" outlineLevel="1">
      <c r="A83" s="380"/>
      <c r="B83" s="380"/>
      <c r="C83" s="387">
        <v>36132.730000000003</v>
      </c>
      <c r="D83" s="387">
        <v>36132.730000000003</v>
      </c>
      <c r="E83" s="387">
        <v>10709.97</v>
      </c>
      <c r="F83" s="387"/>
      <c r="G83" s="387"/>
      <c r="H83" s="387"/>
      <c r="I83" s="387"/>
      <c r="J83" s="387"/>
      <c r="K83" s="387">
        <f>SUM(C83:J83)</f>
        <v>82975.430000000008</v>
      </c>
      <c r="L83" s="388">
        <f t="shared" ref="L83:L84" si="69">K83-C83-D83-E83-F83-G83-H83-I83-J83</f>
        <v>1.8189894035458565E-12</v>
      </c>
      <c r="M83" s="387"/>
      <c r="N83" s="387"/>
      <c r="O83" s="387"/>
      <c r="P83" s="387"/>
      <c r="Q83" s="387">
        <f>K83+M83+N83+O83+P83</f>
        <v>82975.430000000008</v>
      </c>
      <c r="R83" s="381"/>
      <c r="S83" s="383"/>
      <c r="T83" s="383"/>
      <c r="U83" s="383"/>
    </row>
    <row r="84" spans="1:21" outlineLevel="1">
      <c r="A84" s="380"/>
      <c r="B84" s="380"/>
      <c r="C84" s="392"/>
      <c r="D84" s="387">
        <v>2041.09</v>
      </c>
      <c r="E84" s="387">
        <v>62531.66</v>
      </c>
      <c r="F84" s="387">
        <v>62531.66</v>
      </c>
      <c r="G84" s="387">
        <v>62531.66</v>
      </c>
      <c r="H84" s="387">
        <v>62531.66</v>
      </c>
      <c r="I84" s="387">
        <v>62531.66</v>
      </c>
      <c r="J84" s="387">
        <v>62531.66</v>
      </c>
      <c r="K84" s="387">
        <f>SUM(C84:J84)</f>
        <v>377231.05000000005</v>
      </c>
      <c r="L84" s="388">
        <f t="shared" si="69"/>
        <v>0</v>
      </c>
      <c r="M84" s="387">
        <f>($K84-$D$84)/6</f>
        <v>62531.66</v>
      </c>
      <c r="N84" s="387">
        <f t="shared" ref="N84:P84" si="70">($K84-$D$84)/6</f>
        <v>62531.66</v>
      </c>
      <c r="O84" s="387">
        <f t="shared" si="70"/>
        <v>62531.66</v>
      </c>
      <c r="P84" s="387">
        <f t="shared" si="70"/>
        <v>62531.66</v>
      </c>
      <c r="Q84" s="387">
        <f>K84+M84+N84+O84+P84</f>
        <v>627357.69000000018</v>
      </c>
      <c r="R84" s="381"/>
      <c r="S84" s="383"/>
      <c r="T84" s="383"/>
      <c r="U84" s="383"/>
    </row>
    <row r="85" spans="1:21">
      <c r="A85" s="395" t="s">
        <v>1300</v>
      </c>
      <c r="B85" s="380"/>
      <c r="C85" s="381">
        <f>SUM(C86:C87)</f>
        <v>49198.19</v>
      </c>
      <c r="D85" s="381">
        <f t="shared" ref="D85:J85" si="71">SUM(D86:D87)</f>
        <v>49198.19</v>
      </c>
      <c r="E85" s="381">
        <f t="shared" si="71"/>
        <v>49198.19</v>
      </c>
      <c r="F85" s="381">
        <f t="shared" si="71"/>
        <v>49198.19</v>
      </c>
      <c r="G85" s="381">
        <f t="shared" si="71"/>
        <v>49198.19</v>
      </c>
      <c r="H85" s="381">
        <f t="shared" si="71"/>
        <v>49198.19</v>
      </c>
      <c r="I85" s="381">
        <f t="shared" si="71"/>
        <v>49198.19</v>
      </c>
      <c r="J85" s="381">
        <f t="shared" si="71"/>
        <v>135301.18</v>
      </c>
      <c r="K85" s="381">
        <v>479688.51</v>
      </c>
      <c r="L85" s="382">
        <f>K85-C85-D85-E85-F85-G85-H85-I85-J85</f>
        <v>0</v>
      </c>
      <c r="M85" s="381">
        <f t="shared" ref="M85" si="72">SUM(M86:M87)</f>
        <v>115181.33999999998</v>
      </c>
      <c r="N85" s="381">
        <f t="shared" ref="N85:Q85" si="73">SUM(N86:N87)</f>
        <v>86102.99</v>
      </c>
      <c r="O85" s="381">
        <f t="shared" si="73"/>
        <v>86102.99</v>
      </c>
      <c r="P85" s="381">
        <f t="shared" si="73"/>
        <v>86102.99</v>
      </c>
      <c r="Q85" s="385">
        <f t="shared" si="73"/>
        <v>853178.82000000007</v>
      </c>
      <c r="R85" s="381">
        <f t="shared" si="17"/>
        <v>479.68851000000001</v>
      </c>
      <c r="S85" s="383"/>
      <c r="T85" s="383"/>
      <c r="U85" s="383"/>
    </row>
    <row r="86" spans="1:21" outlineLevel="1">
      <c r="A86" s="380"/>
      <c r="B86" s="380"/>
      <c r="C86" s="387">
        <v>49198.19</v>
      </c>
      <c r="D86" s="387">
        <v>49198.19</v>
      </c>
      <c r="E86" s="387">
        <v>49198.19</v>
      </c>
      <c r="F86" s="387">
        <v>49198.19</v>
      </c>
      <c r="G86" s="387">
        <v>49198.19</v>
      </c>
      <c r="H86" s="387">
        <v>49198.19</v>
      </c>
      <c r="I86" s="387">
        <v>49198.19</v>
      </c>
      <c r="J86" s="387">
        <v>49198.19</v>
      </c>
      <c r="K86" s="387">
        <f>SUM(C86:J86)</f>
        <v>393585.52</v>
      </c>
      <c r="L86" s="388">
        <f t="shared" ref="L86:L87" si="74">K86-C86-D86-E86-F86-G86-H86-I86-J86</f>
        <v>0</v>
      </c>
      <c r="M86" s="387">
        <v>29078.349999999977</v>
      </c>
      <c r="N86" s="387"/>
      <c r="O86" s="387"/>
      <c r="P86" s="387"/>
      <c r="Q86" s="387">
        <f>K86+M86+N86+O86+P86</f>
        <v>422663.87</v>
      </c>
      <c r="R86" s="381"/>
      <c r="S86" s="383"/>
      <c r="T86" s="383"/>
      <c r="U86" s="383"/>
    </row>
    <row r="87" spans="1:21" outlineLevel="1">
      <c r="A87" s="380"/>
      <c r="B87" s="380"/>
      <c r="C87" s="392"/>
      <c r="D87" s="392"/>
      <c r="E87" s="387"/>
      <c r="F87" s="387"/>
      <c r="G87" s="387"/>
      <c r="H87" s="387"/>
      <c r="I87" s="387"/>
      <c r="J87" s="387">
        <v>86102.99</v>
      </c>
      <c r="K87" s="387">
        <f>SUM(C87:J87)</f>
        <v>86102.99</v>
      </c>
      <c r="L87" s="388">
        <f t="shared" si="74"/>
        <v>0</v>
      </c>
      <c r="M87" s="387">
        <f>J87</f>
        <v>86102.99</v>
      </c>
      <c r="N87" s="387">
        <f>M87</f>
        <v>86102.99</v>
      </c>
      <c r="O87" s="387">
        <f t="shared" ref="O87:P87" si="75">N87</f>
        <v>86102.99</v>
      </c>
      <c r="P87" s="387">
        <f t="shared" si="75"/>
        <v>86102.99</v>
      </c>
      <c r="Q87" s="387">
        <f>K87+M87+N87+O87+P87</f>
        <v>430514.95</v>
      </c>
      <c r="R87" s="381"/>
      <c r="S87" s="383"/>
      <c r="T87" s="383"/>
      <c r="U87" s="383"/>
    </row>
    <row r="88" spans="1:21" ht="14.25" customHeight="1">
      <c r="A88" s="395" t="s">
        <v>1301</v>
      </c>
      <c r="B88" s="380"/>
      <c r="C88" s="381">
        <f>SUM(C89:C90)</f>
        <v>31686</v>
      </c>
      <c r="D88" s="381">
        <f t="shared" ref="D88:J88" si="76">SUM(D89:D90)</f>
        <v>31686</v>
      </c>
      <c r="E88" s="381">
        <f t="shared" si="76"/>
        <v>31686</v>
      </c>
      <c r="F88" s="381">
        <f t="shared" si="76"/>
        <v>31686</v>
      </c>
      <c r="G88" s="381">
        <f t="shared" si="76"/>
        <v>31686</v>
      </c>
      <c r="H88" s="381">
        <f t="shared" si="76"/>
        <v>31686</v>
      </c>
      <c r="I88" s="381">
        <f t="shared" si="76"/>
        <v>31686</v>
      </c>
      <c r="J88" s="381">
        <f t="shared" si="76"/>
        <v>31686</v>
      </c>
      <c r="K88" s="381">
        <v>253488.32</v>
      </c>
      <c r="L88" s="382">
        <f>K88-C88-D88-E88-F88-G88-H88-I88-J88</f>
        <v>0.32000000000698492</v>
      </c>
      <c r="M88" s="381">
        <f t="shared" ref="M88" si="77">SUM(M89:M90)</f>
        <v>36067.79</v>
      </c>
      <c r="N88" s="381">
        <f t="shared" ref="N88:Q88" si="78">SUM(N89:N90)</f>
        <v>44725.87</v>
      </c>
      <c r="O88" s="381">
        <f t="shared" si="78"/>
        <v>44725.87</v>
      </c>
      <c r="P88" s="381">
        <f t="shared" si="78"/>
        <v>44725.87</v>
      </c>
      <c r="Q88" s="385">
        <f t="shared" si="78"/>
        <v>423733.4</v>
      </c>
      <c r="R88" s="381">
        <f t="shared" si="17"/>
        <v>253.48832000000002</v>
      </c>
      <c r="S88" s="383"/>
      <c r="T88" s="383"/>
      <c r="U88" s="383"/>
    </row>
    <row r="89" spans="1:21" outlineLevel="1">
      <c r="A89" s="380"/>
      <c r="B89" s="380"/>
      <c r="C89" s="387">
        <v>31686</v>
      </c>
      <c r="D89" s="387">
        <v>31686</v>
      </c>
      <c r="E89" s="387">
        <v>31686</v>
      </c>
      <c r="F89" s="387">
        <v>31686</v>
      </c>
      <c r="G89" s="387">
        <v>31686</v>
      </c>
      <c r="H89" s="387">
        <v>31686</v>
      </c>
      <c r="I89" s="387">
        <v>31686</v>
      </c>
      <c r="J89" s="387">
        <v>31686</v>
      </c>
      <c r="K89" s="387">
        <f>SUM(C89:J89)</f>
        <v>253488</v>
      </c>
      <c r="L89" s="388">
        <f t="shared" ref="L89:L90" si="79">K89-C89-D89-E89-F89-G89-H89-I89-J89</f>
        <v>0</v>
      </c>
      <c r="M89" s="387">
        <v>22889.63</v>
      </c>
      <c r="N89" s="387"/>
      <c r="O89" s="387"/>
      <c r="P89" s="387"/>
      <c r="Q89" s="387">
        <f>K89+M89+N89+O89+P89</f>
        <v>276377.63</v>
      </c>
      <c r="R89" s="381"/>
      <c r="S89" s="383"/>
      <c r="T89" s="383"/>
      <c r="U89" s="383"/>
    </row>
    <row r="90" spans="1:21" outlineLevel="1">
      <c r="A90" s="380"/>
      <c r="B90" s="380"/>
      <c r="C90" s="392"/>
      <c r="D90" s="392"/>
      <c r="E90" s="387"/>
      <c r="F90" s="387"/>
      <c r="G90" s="387"/>
      <c r="H90" s="387"/>
      <c r="I90" s="387"/>
      <c r="J90" s="387"/>
      <c r="K90" s="387">
        <f>SUM(C90:J90)</f>
        <v>0</v>
      </c>
      <c r="L90" s="388">
        <f t="shared" si="79"/>
        <v>0</v>
      </c>
      <c r="M90" s="387">
        <v>13178.16</v>
      </c>
      <c r="N90" s="387">
        <v>44725.87</v>
      </c>
      <c r="O90" s="387">
        <f>N90</f>
        <v>44725.87</v>
      </c>
      <c r="P90" s="387">
        <f>O90</f>
        <v>44725.87</v>
      </c>
      <c r="Q90" s="387">
        <f>K90+M90+N90+O90+P90</f>
        <v>147355.76999999999</v>
      </c>
      <c r="R90" s="381"/>
      <c r="S90" s="383"/>
      <c r="T90" s="383"/>
      <c r="U90" s="383"/>
    </row>
    <row r="91" spans="1:21">
      <c r="A91" s="395" t="s">
        <v>1302</v>
      </c>
      <c r="B91" s="380"/>
      <c r="C91" s="381">
        <f>SUM(C92:C93)</f>
        <v>679544.3</v>
      </c>
      <c r="D91" s="381">
        <f t="shared" ref="D91:J91" si="80">SUM(D92:D93)</f>
        <v>679544.3</v>
      </c>
      <c r="E91" s="381">
        <f t="shared" si="80"/>
        <v>679544.3</v>
      </c>
      <c r="F91" s="381">
        <f t="shared" si="80"/>
        <v>766955.75</v>
      </c>
      <c r="G91" s="381">
        <f t="shared" si="80"/>
        <v>805732.34</v>
      </c>
      <c r="H91" s="381">
        <f t="shared" si="80"/>
        <v>805732.34</v>
      </c>
      <c r="I91" s="381">
        <f t="shared" si="80"/>
        <v>805732.34</v>
      </c>
      <c r="J91" s="381">
        <f t="shared" si="80"/>
        <v>805732.34</v>
      </c>
      <c r="K91" s="381">
        <v>6028518.0099999998</v>
      </c>
      <c r="L91" s="382">
        <f>K91-C91-D91-E91-F91-G91-H91-I91-J91</f>
        <v>0</v>
      </c>
      <c r="M91" s="381">
        <f t="shared" ref="M91" si="81">SUM(M92:M93)</f>
        <v>805732.34</v>
      </c>
      <c r="N91" s="381">
        <f t="shared" ref="N91:Q91" si="82">SUM(N92:N93)</f>
        <v>805732.34</v>
      </c>
      <c r="O91" s="381">
        <f t="shared" si="82"/>
        <v>805732.34</v>
      </c>
      <c r="P91" s="381">
        <f t="shared" si="82"/>
        <v>805732.34</v>
      </c>
      <c r="Q91" s="385">
        <f t="shared" si="82"/>
        <v>9251447.3699999992</v>
      </c>
      <c r="R91" s="381">
        <f t="shared" si="17"/>
        <v>6028.5180099999998</v>
      </c>
      <c r="S91" s="383"/>
      <c r="T91" s="383"/>
      <c r="U91" s="383"/>
    </row>
    <row r="92" spans="1:21" outlineLevel="1">
      <c r="A92" s="380"/>
      <c r="B92" s="380"/>
      <c r="C92" s="387">
        <v>679544.3</v>
      </c>
      <c r="D92" s="387">
        <f>C92</f>
        <v>679544.3</v>
      </c>
      <c r="E92" s="387">
        <f>D92</f>
        <v>679544.3</v>
      </c>
      <c r="F92" s="387">
        <v>133880.34</v>
      </c>
      <c r="G92" s="387"/>
      <c r="H92" s="387"/>
      <c r="I92" s="387"/>
      <c r="J92" s="387"/>
      <c r="K92" s="387">
        <f>SUM(C92:J92)</f>
        <v>2172513.2400000002</v>
      </c>
      <c r="L92" s="388">
        <f t="shared" ref="L92:L93" si="83">K92-C92-D92-E92-F92-G92-H92-I92-J92</f>
        <v>8.7311491370201111E-11</v>
      </c>
      <c r="M92" s="387"/>
      <c r="N92" s="387"/>
      <c r="O92" s="387"/>
      <c r="P92" s="387"/>
      <c r="Q92" s="387">
        <f>K92+M92+N92+O92+P92</f>
        <v>2172513.2400000002</v>
      </c>
      <c r="R92" s="381"/>
      <c r="S92" s="383"/>
      <c r="T92" s="383"/>
      <c r="U92" s="383"/>
    </row>
    <row r="93" spans="1:21" outlineLevel="1">
      <c r="A93" s="380"/>
      <c r="B93" s="380"/>
      <c r="C93" s="392"/>
      <c r="D93" s="392"/>
      <c r="E93" s="387"/>
      <c r="F93" s="387">
        <v>633075.41</v>
      </c>
      <c r="G93" s="387">
        <f>805732.34</f>
        <v>805732.34</v>
      </c>
      <c r="H93" s="387">
        <f>G93</f>
        <v>805732.34</v>
      </c>
      <c r="I93" s="387">
        <f t="shared" ref="I93:J93" si="84">H93</f>
        <v>805732.34</v>
      </c>
      <c r="J93" s="387">
        <f t="shared" si="84"/>
        <v>805732.34</v>
      </c>
      <c r="K93" s="387">
        <f>SUM(C93:J93)</f>
        <v>3856004.7699999996</v>
      </c>
      <c r="L93" s="388">
        <f t="shared" si="83"/>
        <v>0</v>
      </c>
      <c r="M93" s="387">
        <v>805732.34</v>
      </c>
      <c r="N93" s="387">
        <f>M93</f>
        <v>805732.34</v>
      </c>
      <c r="O93" s="387">
        <f t="shared" ref="O93:P93" si="85">N93</f>
        <v>805732.34</v>
      </c>
      <c r="P93" s="387">
        <f t="shared" si="85"/>
        <v>805732.34</v>
      </c>
      <c r="Q93" s="387">
        <f>K93+M93+N93+O93+P93</f>
        <v>7078934.129999999</v>
      </c>
      <c r="R93" s="381"/>
      <c r="S93" s="383"/>
      <c r="T93" s="383"/>
      <c r="U93" s="383"/>
    </row>
    <row r="94" spans="1:21">
      <c r="A94" s="395" t="s">
        <v>1303</v>
      </c>
      <c r="B94" s="380"/>
      <c r="C94" s="381">
        <f>SUM(C95:C96)</f>
        <v>7509.34</v>
      </c>
      <c r="D94" s="381">
        <f t="shared" ref="D94:J94" si="86">SUM(D95:D96)</f>
        <v>7509.34</v>
      </c>
      <c r="E94" s="381">
        <f t="shared" si="86"/>
        <v>7509.34</v>
      </c>
      <c r="F94" s="381">
        <f t="shared" si="86"/>
        <v>7379.07</v>
      </c>
      <c r="G94" s="381">
        <f t="shared" si="86"/>
        <v>7511.18</v>
      </c>
      <c r="H94" s="381">
        <f t="shared" si="86"/>
        <v>7511.18</v>
      </c>
      <c r="I94" s="381">
        <f t="shared" si="86"/>
        <v>7511.18</v>
      </c>
      <c r="J94" s="381">
        <f t="shared" si="86"/>
        <v>7511.18</v>
      </c>
      <c r="K94" s="381">
        <v>59951.81</v>
      </c>
      <c r="L94" s="382">
        <f>K94-C94-D94-E94-F94-G94-H94-I94-J94</f>
        <v>7.2759576141834259E-12</v>
      </c>
      <c r="M94" s="381">
        <f t="shared" ref="M94" si="87">SUM(M95:M96)</f>
        <v>7511.18</v>
      </c>
      <c r="N94" s="381">
        <f t="shared" ref="N94:Q94" si="88">SUM(N95:N96)</f>
        <v>7511.18</v>
      </c>
      <c r="O94" s="381">
        <f t="shared" si="88"/>
        <v>7511.18</v>
      </c>
      <c r="P94" s="381">
        <f t="shared" si="88"/>
        <v>7511.18</v>
      </c>
      <c r="Q94" s="385">
        <f t="shared" si="88"/>
        <v>89996.53</v>
      </c>
      <c r="R94" s="381">
        <f t="shared" si="17"/>
        <v>59.951809999999995</v>
      </c>
      <c r="S94" s="383"/>
      <c r="T94" s="383"/>
      <c r="U94" s="383"/>
    </row>
    <row r="95" spans="1:21" outlineLevel="1">
      <c r="A95" s="380"/>
      <c r="B95" s="380"/>
      <c r="C95" s="387">
        <v>7509.34</v>
      </c>
      <c r="D95" s="387">
        <f>C95</f>
        <v>7509.34</v>
      </c>
      <c r="E95" s="387">
        <f>D95</f>
        <v>7509.34</v>
      </c>
      <c r="F95" s="387">
        <v>739.73</v>
      </c>
      <c r="G95" s="387"/>
      <c r="H95" s="387"/>
      <c r="I95" s="387"/>
      <c r="J95" s="387"/>
      <c r="K95" s="387">
        <f>SUM(C95:J95)</f>
        <v>23267.75</v>
      </c>
      <c r="L95" s="388">
        <f t="shared" ref="L95:L96" si="89">K95-C95-D95-E95-F95-G95-H95-I95-J95</f>
        <v>-4.5474735088646412E-13</v>
      </c>
      <c r="M95" s="387"/>
      <c r="N95" s="387"/>
      <c r="O95" s="387"/>
      <c r="P95" s="387"/>
      <c r="Q95" s="387">
        <f>K95+M95+N95+O95+P95</f>
        <v>23267.75</v>
      </c>
      <c r="R95" s="381"/>
      <c r="S95" s="383"/>
      <c r="T95" s="383"/>
      <c r="U95" s="383"/>
    </row>
    <row r="96" spans="1:21" outlineLevel="1">
      <c r="A96" s="380"/>
      <c r="B96" s="380"/>
      <c r="C96" s="392"/>
      <c r="D96" s="392"/>
      <c r="E96" s="387"/>
      <c r="F96" s="387">
        <v>6639.34</v>
      </c>
      <c r="G96" s="387">
        <v>7511.18</v>
      </c>
      <c r="H96" s="387">
        <v>7511.18</v>
      </c>
      <c r="I96" s="387">
        <v>7511.18</v>
      </c>
      <c r="J96" s="387">
        <v>7511.18</v>
      </c>
      <c r="K96" s="387">
        <f>SUM(C96:J96)</f>
        <v>36684.06</v>
      </c>
      <c r="L96" s="388">
        <f t="shared" si="89"/>
        <v>0</v>
      </c>
      <c r="M96" s="387">
        <v>7511.18</v>
      </c>
      <c r="N96" s="387">
        <v>7511.18</v>
      </c>
      <c r="O96" s="387">
        <v>7511.18</v>
      </c>
      <c r="P96" s="387">
        <v>7511.18</v>
      </c>
      <c r="Q96" s="387">
        <f>K96+M96+N96+O96+P96</f>
        <v>66728.78</v>
      </c>
      <c r="R96" s="381"/>
      <c r="S96" s="383"/>
      <c r="T96" s="383"/>
      <c r="U96" s="383"/>
    </row>
    <row r="97" spans="1:22">
      <c r="A97" s="395" t="s">
        <v>1304</v>
      </c>
      <c r="B97" s="380"/>
      <c r="C97" s="381">
        <f t="shared" ref="C97:J97" si="90">SUM(C98:C98)</f>
        <v>2898.62</v>
      </c>
      <c r="D97" s="381">
        <f t="shared" si="90"/>
        <v>2898.62</v>
      </c>
      <c r="E97" s="381">
        <f t="shared" si="90"/>
        <v>2898.62</v>
      </c>
      <c r="F97" s="381">
        <f t="shared" si="90"/>
        <v>2898.62</v>
      </c>
      <c r="G97" s="381">
        <f t="shared" si="90"/>
        <v>2898.62</v>
      </c>
      <c r="H97" s="381">
        <f t="shared" si="90"/>
        <v>2898.62</v>
      </c>
      <c r="I97" s="381">
        <f t="shared" si="90"/>
        <v>2898.62</v>
      </c>
      <c r="J97" s="381">
        <f t="shared" si="90"/>
        <v>2898.62</v>
      </c>
      <c r="K97" s="381">
        <v>23188.959999999999</v>
      </c>
      <c r="L97" s="382">
        <f>K97-C97-D97-E97-F97-G97-H97-I97-J97</f>
        <v>4.5474735088646412E-12</v>
      </c>
      <c r="M97" s="381">
        <f>SUM(M98:M98)</f>
        <v>2898.62</v>
      </c>
      <c r="N97" s="381">
        <f>SUM(N98:N98)</f>
        <v>2898.62</v>
      </c>
      <c r="O97" s="381">
        <f>SUM(O98:O98)</f>
        <v>2898.62</v>
      </c>
      <c r="P97" s="381">
        <f>SUM(P98:P98)</f>
        <v>2898.62</v>
      </c>
      <c r="Q97" s="385">
        <f>SUM(Q98:Q98)</f>
        <v>34783.439999999995</v>
      </c>
      <c r="R97" s="381">
        <f t="shared" si="17"/>
        <v>23.188959999999998</v>
      </c>
      <c r="S97" s="383"/>
      <c r="T97" s="383"/>
      <c r="U97" s="383"/>
    </row>
    <row r="98" spans="1:22" outlineLevel="1">
      <c r="A98" s="380"/>
      <c r="B98" s="380"/>
      <c r="C98" s="387">
        <v>2898.62</v>
      </c>
      <c r="D98" s="387">
        <f>C98</f>
        <v>2898.62</v>
      </c>
      <c r="E98" s="387">
        <f t="shared" ref="E98:J98" si="91">D98</f>
        <v>2898.62</v>
      </c>
      <c r="F98" s="387">
        <f t="shared" si="91"/>
        <v>2898.62</v>
      </c>
      <c r="G98" s="387">
        <f t="shared" si="91"/>
        <v>2898.62</v>
      </c>
      <c r="H98" s="387">
        <f t="shared" si="91"/>
        <v>2898.62</v>
      </c>
      <c r="I98" s="387">
        <f t="shared" si="91"/>
        <v>2898.62</v>
      </c>
      <c r="J98" s="387">
        <f t="shared" si="91"/>
        <v>2898.62</v>
      </c>
      <c r="K98" s="387">
        <f>SUM(C98:J98)</f>
        <v>23188.959999999995</v>
      </c>
      <c r="L98" s="388">
        <f t="shared" ref="L98" si="92">K98-C98-D98-E98-F98-G98-H98-I98-J98</f>
        <v>0</v>
      </c>
      <c r="M98" s="387">
        <f>J98</f>
        <v>2898.62</v>
      </c>
      <c r="N98" s="387">
        <f>M98</f>
        <v>2898.62</v>
      </c>
      <c r="O98" s="387">
        <f t="shared" ref="O98:P98" si="93">N98</f>
        <v>2898.62</v>
      </c>
      <c r="P98" s="387">
        <f t="shared" si="93"/>
        <v>2898.62</v>
      </c>
      <c r="Q98" s="387">
        <f>K98+M98+N98+O98+P98</f>
        <v>34783.439999999995</v>
      </c>
      <c r="R98" s="381"/>
      <c r="S98" s="383"/>
      <c r="T98" s="383"/>
      <c r="U98" s="383"/>
    </row>
    <row r="99" spans="1:22">
      <c r="A99" s="395" t="s">
        <v>1305</v>
      </c>
      <c r="B99" s="380"/>
      <c r="C99" s="381">
        <f>SUM(C100:C101)</f>
        <v>829.61</v>
      </c>
      <c r="D99" s="381">
        <f t="shared" ref="D99:J99" si="94">SUM(D100:D101)</f>
        <v>1454.27</v>
      </c>
      <c r="E99" s="381">
        <f t="shared" si="94"/>
        <v>1662.93</v>
      </c>
      <c r="F99" s="381">
        <f t="shared" si="94"/>
        <v>1007.22</v>
      </c>
      <c r="G99" s="381">
        <f t="shared" si="94"/>
        <v>1007.22</v>
      </c>
      <c r="H99" s="381">
        <f t="shared" si="94"/>
        <v>1007.22</v>
      </c>
      <c r="I99" s="381">
        <f t="shared" si="94"/>
        <v>1007.22</v>
      </c>
      <c r="J99" s="381">
        <f t="shared" si="94"/>
        <v>1007.22</v>
      </c>
      <c r="K99" s="381">
        <v>8982.91</v>
      </c>
      <c r="L99" s="382">
        <f>K99-C99-D99-E99-F99-G99-H99-I99-J99</f>
        <v>0</v>
      </c>
      <c r="M99" s="381">
        <f t="shared" ref="M99" si="95">SUM(M100:M101)</f>
        <v>1007.22</v>
      </c>
      <c r="N99" s="381">
        <f t="shared" ref="N99:Q99" si="96">SUM(N100:N101)</f>
        <v>1007.22</v>
      </c>
      <c r="O99" s="381">
        <f t="shared" si="96"/>
        <v>1007.22</v>
      </c>
      <c r="P99" s="381">
        <f t="shared" si="96"/>
        <v>1007.22</v>
      </c>
      <c r="Q99" s="385">
        <f t="shared" si="96"/>
        <v>13011.79</v>
      </c>
      <c r="R99" s="381">
        <f t="shared" si="17"/>
        <v>8.9829100000000004</v>
      </c>
      <c r="S99" s="383"/>
      <c r="T99" s="383"/>
      <c r="U99" s="383"/>
    </row>
    <row r="100" spans="1:22" outlineLevel="1">
      <c r="A100" s="380"/>
      <c r="B100" s="380"/>
      <c r="C100" s="387">
        <v>829.61</v>
      </c>
      <c r="D100" s="387">
        <f>C100</f>
        <v>829.61</v>
      </c>
      <c r="E100" s="387">
        <v>655.71</v>
      </c>
      <c r="F100" s="387"/>
      <c r="G100" s="387"/>
      <c r="H100" s="387"/>
      <c r="I100" s="387"/>
      <c r="J100" s="387"/>
      <c r="K100" s="387">
        <f>SUM(C100:J100)</f>
        <v>2314.9300000000003</v>
      </c>
      <c r="L100" s="388">
        <f t="shared" ref="L100:L101" si="97">K100-C100-D100-E100-F100-G100-H100-I100-J100</f>
        <v>1.1368683772161603E-13</v>
      </c>
      <c r="M100" s="387"/>
      <c r="N100" s="387"/>
      <c r="O100" s="387"/>
      <c r="P100" s="387"/>
      <c r="Q100" s="387">
        <f>K100+M100+N100+O100+P100</f>
        <v>2314.9300000000003</v>
      </c>
      <c r="R100" s="381"/>
      <c r="S100" s="383"/>
      <c r="T100" s="383"/>
      <c r="U100" s="383"/>
    </row>
    <row r="101" spans="1:22" outlineLevel="1">
      <c r="A101" s="380"/>
      <c r="B101" s="380"/>
      <c r="C101" s="392"/>
      <c r="D101" s="392">
        <v>624.66</v>
      </c>
      <c r="E101" s="387">
        <v>1007.22</v>
      </c>
      <c r="F101" s="387">
        <v>1007.22</v>
      </c>
      <c r="G101" s="387">
        <v>1007.22</v>
      </c>
      <c r="H101" s="387">
        <v>1007.22</v>
      </c>
      <c r="I101" s="387">
        <v>1007.22</v>
      </c>
      <c r="J101" s="387">
        <v>1007.22</v>
      </c>
      <c r="K101" s="387">
        <f>SUM(C101:J101)</f>
        <v>6667.9800000000014</v>
      </c>
      <c r="L101" s="388">
        <f t="shared" si="97"/>
        <v>0</v>
      </c>
      <c r="M101" s="387">
        <v>1007.22</v>
      </c>
      <c r="N101" s="387">
        <v>1007.22</v>
      </c>
      <c r="O101" s="387">
        <v>1007.22</v>
      </c>
      <c r="P101" s="387">
        <v>1007.22</v>
      </c>
      <c r="Q101" s="387">
        <f>K101+M101+N101+O101+P101</f>
        <v>10696.86</v>
      </c>
      <c r="R101" s="381"/>
      <c r="S101" s="383"/>
      <c r="T101" s="383"/>
      <c r="U101" s="383"/>
    </row>
    <row r="102" spans="1:22">
      <c r="A102" s="395" t="s">
        <v>1306</v>
      </c>
      <c r="B102" s="380"/>
      <c r="C102" s="381">
        <f t="shared" ref="C102:J102" si="98">SUM(C103:C103)</f>
        <v>0</v>
      </c>
      <c r="D102" s="381">
        <f t="shared" si="98"/>
        <v>1858.36</v>
      </c>
      <c r="E102" s="381">
        <f t="shared" si="98"/>
        <v>2996.49</v>
      </c>
      <c r="F102" s="381">
        <f t="shared" si="98"/>
        <v>2996.49</v>
      </c>
      <c r="G102" s="381">
        <f t="shared" si="98"/>
        <v>2996.49</v>
      </c>
      <c r="H102" s="381">
        <f t="shared" si="98"/>
        <v>2996.49</v>
      </c>
      <c r="I102" s="381">
        <f t="shared" si="98"/>
        <v>2996.49</v>
      </c>
      <c r="J102" s="381">
        <f t="shared" si="98"/>
        <v>2996.49</v>
      </c>
      <c r="K102" s="381">
        <v>19837.3</v>
      </c>
      <c r="L102" s="382">
        <f>K102-C102-D102-E102-F102-G102-H102-I102-J102</f>
        <v>0</v>
      </c>
      <c r="M102" s="381">
        <f>SUM(M103:M103)</f>
        <v>2996.49</v>
      </c>
      <c r="N102" s="381">
        <f>SUM(N103:N103)</f>
        <v>2996.49</v>
      </c>
      <c r="O102" s="381">
        <f>SUM(O103:O103)</f>
        <v>2996.49</v>
      </c>
      <c r="P102" s="381">
        <f>SUM(P103:P103)</f>
        <v>2996.49</v>
      </c>
      <c r="Q102" s="385">
        <f>SUM(Q103:Q103)</f>
        <v>31823.259999999987</v>
      </c>
      <c r="R102" s="381">
        <f t="shared" si="17"/>
        <v>19.837299999999999</v>
      </c>
      <c r="S102" s="383"/>
      <c r="T102" s="383"/>
      <c r="U102" s="383"/>
    </row>
    <row r="103" spans="1:22" outlineLevel="1">
      <c r="A103" s="380"/>
      <c r="B103" s="380"/>
      <c r="C103" s="387"/>
      <c r="D103" s="387">
        <v>1858.36</v>
      </c>
      <c r="E103" s="387">
        <v>2996.49</v>
      </c>
      <c r="F103" s="387">
        <v>2996.49</v>
      </c>
      <c r="G103" s="387">
        <v>2996.49</v>
      </c>
      <c r="H103" s="387">
        <v>2996.49</v>
      </c>
      <c r="I103" s="387">
        <v>2996.49</v>
      </c>
      <c r="J103" s="387">
        <v>2996.49</v>
      </c>
      <c r="K103" s="387">
        <f>SUM(C103:J103)</f>
        <v>19837.299999999996</v>
      </c>
      <c r="L103" s="388">
        <f t="shared" ref="L103" si="99">K103-C103-D103-E103-F103-G103-H103-I103-J103</f>
        <v>-3.637978807091713E-12</v>
      </c>
      <c r="M103" s="387">
        <v>2996.49</v>
      </c>
      <c r="N103" s="387">
        <v>2996.49</v>
      </c>
      <c r="O103" s="387">
        <v>2996.49</v>
      </c>
      <c r="P103" s="387">
        <v>2996.49</v>
      </c>
      <c r="Q103" s="387">
        <f>K103+M103+N103+O103+P103</f>
        <v>31823.259999999987</v>
      </c>
      <c r="R103" s="381"/>
      <c r="S103" s="383"/>
      <c r="T103" s="383"/>
      <c r="U103" s="383"/>
    </row>
    <row r="104" spans="1:22">
      <c r="A104" s="395" t="s">
        <v>1307</v>
      </c>
      <c r="B104" s="380"/>
      <c r="C104" s="381">
        <f>SUM(C105:C106)</f>
        <v>844279.25</v>
      </c>
      <c r="D104" s="381">
        <f t="shared" ref="D104:J104" si="100">SUM(D105:D106)</f>
        <v>844279.25</v>
      </c>
      <c r="E104" s="381">
        <f t="shared" si="100"/>
        <v>844279.25</v>
      </c>
      <c r="F104" s="381">
        <f t="shared" si="100"/>
        <v>844279.25</v>
      </c>
      <c r="G104" s="381">
        <f t="shared" si="100"/>
        <v>844279.25</v>
      </c>
      <c r="H104" s="381">
        <f t="shared" si="100"/>
        <v>1192565.07</v>
      </c>
      <c r="I104" s="381">
        <f t="shared" si="100"/>
        <v>1306110.28</v>
      </c>
      <c r="J104" s="381">
        <f t="shared" si="100"/>
        <v>1306110.28</v>
      </c>
      <c r="K104" s="381">
        <v>8026181.8799999999</v>
      </c>
      <c r="L104" s="382">
        <f>K104-C104-D104-E104-F104-G104-H104-I104-J104</f>
        <v>0</v>
      </c>
      <c r="M104" s="381">
        <f t="shared" ref="M104" si="101">SUM(M105:M106)</f>
        <v>1306110.28</v>
      </c>
      <c r="N104" s="381">
        <f t="shared" ref="N104:Q104" si="102">SUM(N105:N106)</f>
        <v>1306110.28</v>
      </c>
      <c r="O104" s="381">
        <f t="shared" si="102"/>
        <v>1306110.28</v>
      </c>
      <c r="P104" s="381">
        <f t="shared" si="102"/>
        <v>1306110.28</v>
      </c>
      <c r="Q104" s="385">
        <f t="shared" si="102"/>
        <v>13250623</v>
      </c>
      <c r="R104" s="381">
        <f t="shared" si="17"/>
        <v>8026.1818800000001</v>
      </c>
      <c r="S104" s="383"/>
      <c r="T104" s="383"/>
      <c r="U104" s="383"/>
    </row>
    <row r="105" spans="1:22" outlineLevel="1">
      <c r="A105" s="380"/>
      <c r="B105" s="380"/>
      <c r="C105" s="387">
        <v>844279.25</v>
      </c>
      <c r="D105" s="387">
        <v>844279.25</v>
      </c>
      <c r="E105" s="387">
        <v>844279.25</v>
      </c>
      <c r="F105" s="387">
        <v>844279.25</v>
      </c>
      <c r="G105" s="387">
        <v>844279.25</v>
      </c>
      <c r="H105" s="387">
        <v>166335.56</v>
      </c>
      <c r="I105" s="387"/>
      <c r="J105" s="387"/>
      <c r="K105" s="387">
        <f>SUM(C105:J105)</f>
        <v>4387731.8099999996</v>
      </c>
      <c r="L105" s="388">
        <f t="shared" ref="L105:L106" si="103">K105-C105-D105-E105-F105-G105-H105-I105-J105</f>
        <v>-4.0745362639427185E-10</v>
      </c>
      <c r="M105" s="387"/>
      <c r="N105" s="387"/>
      <c r="O105" s="387"/>
      <c r="P105" s="387"/>
      <c r="Q105" s="387">
        <f>K105+M105+N105+O105+P105</f>
        <v>4387731.8099999996</v>
      </c>
      <c r="R105" s="381"/>
      <c r="S105" s="383"/>
      <c r="T105" s="383"/>
      <c r="U105" s="383"/>
    </row>
    <row r="106" spans="1:22" outlineLevel="1">
      <c r="A106" s="380"/>
      <c r="B106" s="380"/>
      <c r="C106" s="392"/>
      <c r="D106" s="392"/>
      <c r="E106" s="387"/>
      <c r="F106" s="387"/>
      <c r="G106" s="387"/>
      <c r="H106" s="387">
        <v>1026229.51</v>
      </c>
      <c r="I106" s="387">
        <v>1306110.28</v>
      </c>
      <c r="J106" s="387">
        <v>1306110.28</v>
      </c>
      <c r="K106" s="387">
        <f>SUM(C106:J106)</f>
        <v>3638450.0700000003</v>
      </c>
      <c r="L106" s="388">
        <f t="shared" si="103"/>
        <v>0</v>
      </c>
      <c r="M106" s="387">
        <v>1306110.28</v>
      </c>
      <c r="N106" s="387">
        <v>1306110.28</v>
      </c>
      <c r="O106" s="387">
        <v>1306110.28</v>
      </c>
      <c r="P106" s="387">
        <v>1306110.28</v>
      </c>
      <c r="Q106" s="387">
        <f>K106+M106+N106+O106+P106</f>
        <v>8862891.1900000013</v>
      </c>
      <c r="R106" s="381"/>
      <c r="S106" s="383"/>
      <c r="T106" s="383"/>
      <c r="U106" s="383"/>
    </row>
    <row r="107" spans="1:22">
      <c r="A107" s="380" t="s">
        <v>1308</v>
      </c>
      <c r="B107" s="380"/>
      <c r="C107" s="381">
        <f t="shared" ref="C107:J107" si="104">SUM(C108:C108)</f>
        <v>0</v>
      </c>
      <c r="D107" s="381">
        <f t="shared" si="104"/>
        <v>0</v>
      </c>
      <c r="E107" s="381">
        <f t="shared" si="104"/>
        <v>0</v>
      </c>
      <c r="F107" s="381">
        <f t="shared" si="104"/>
        <v>0</v>
      </c>
      <c r="G107" s="381">
        <f t="shared" si="104"/>
        <v>0</v>
      </c>
      <c r="H107" s="381">
        <f t="shared" si="104"/>
        <v>0</v>
      </c>
      <c r="I107" s="381">
        <f t="shared" si="104"/>
        <v>0</v>
      </c>
      <c r="J107" s="381">
        <f t="shared" si="104"/>
        <v>18500</v>
      </c>
      <c r="K107" s="381">
        <v>18500</v>
      </c>
      <c r="L107" s="382">
        <f>K107-C107-D107-E107-F107-G107-H107-I107-J107</f>
        <v>0</v>
      </c>
      <c r="M107" s="381">
        <f>SUM(M108:M108)</f>
        <v>0</v>
      </c>
      <c r="N107" s="381">
        <f>SUM(N108:N108)</f>
        <v>0</v>
      </c>
      <c r="O107" s="381">
        <f>SUM(O108:O108)</f>
        <v>0</v>
      </c>
      <c r="P107" s="381">
        <f>SUM(P108:P108)</f>
        <v>55500</v>
      </c>
      <c r="Q107" s="408">
        <f>SUM(Q108:Q108)</f>
        <v>74000</v>
      </c>
      <c r="R107" s="381">
        <f t="shared" si="17"/>
        <v>18.5</v>
      </c>
      <c r="S107" s="383"/>
      <c r="T107" s="383"/>
      <c r="U107" s="383"/>
    </row>
    <row r="108" spans="1:22" ht="30" customHeight="1" outlineLevel="1">
      <c r="A108" s="386" t="s">
        <v>1309</v>
      </c>
      <c r="B108" s="387">
        <v>74000</v>
      </c>
      <c r="C108" s="387"/>
      <c r="D108" s="387"/>
      <c r="E108" s="387"/>
      <c r="F108" s="387"/>
      <c r="G108" s="387"/>
      <c r="H108" s="387"/>
      <c r="I108" s="387"/>
      <c r="J108" s="387">
        <v>18500</v>
      </c>
      <c r="K108" s="387">
        <f>SUM(C108:J108)</f>
        <v>18500</v>
      </c>
      <c r="L108" s="388">
        <f t="shared" ref="L108" si="105">K108-C108-D108-E108-F108-G108-H108-I108-J108</f>
        <v>0</v>
      </c>
      <c r="M108" s="387"/>
      <c r="N108" s="387"/>
      <c r="O108" s="387"/>
      <c r="P108" s="387">
        <f>B108-K108</f>
        <v>55500</v>
      </c>
      <c r="Q108" s="409">
        <f>K108+M108+N108+O108+P108</f>
        <v>74000</v>
      </c>
      <c r="R108" s="381"/>
      <c r="S108" s="383"/>
      <c r="T108" s="383"/>
      <c r="U108" s="383"/>
    </row>
    <row r="109" spans="1:22">
      <c r="A109" s="380" t="s">
        <v>1310</v>
      </c>
      <c r="B109" s="380"/>
      <c r="C109" s="381">
        <f t="shared" ref="C109:J109" si="106">SUM(C110:C110)</f>
        <v>0</v>
      </c>
      <c r="D109" s="381">
        <f t="shared" si="106"/>
        <v>0</v>
      </c>
      <c r="E109" s="381">
        <f t="shared" si="106"/>
        <v>0</v>
      </c>
      <c r="F109" s="381">
        <f t="shared" si="106"/>
        <v>0</v>
      </c>
      <c r="G109" s="381">
        <f t="shared" si="106"/>
        <v>324000</v>
      </c>
      <c r="H109" s="381">
        <f t="shared" si="106"/>
        <v>0</v>
      </c>
      <c r="I109" s="381">
        <f t="shared" si="106"/>
        <v>0</v>
      </c>
      <c r="J109" s="381">
        <f t="shared" si="106"/>
        <v>0</v>
      </c>
      <c r="K109" s="381">
        <v>324000</v>
      </c>
      <c r="L109" s="382">
        <f>K109-C109-D109-E109-F109-G109-H109-I109-J109</f>
        <v>0</v>
      </c>
      <c r="M109" s="381">
        <f>SUM(M110:M110)</f>
        <v>0</v>
      </c>
      <c r="N109" s="381">
        <f>SUM(N110:N110)</f>
        <v>0</v>
      </c>
      <c r="O109" s="381">
        <f>SUM(O110:O110)</f>
        <v>0</v>
      </c>
      <c r="P109" s="381">
        <f>SUM(P110:P110)</f>
        <v>0</v>
      </c>
      <c r="Q109" s="385">
        <f>SUM(Q110:Q110)</f>
        <v>324000</v>
      </c>
      <c r="R109" s="381">
        <f t="shared" ref="R109:R172" si="107">K109/1000</f>
        <v>324</v>
      </c>
      <c r="S109" s="383"/>
      <c r="T109" s="383"/>
      <c r="U109" s="383"/>
      <c r="V109" t="s">
        <v>1311</v>
      </c>
    </row>
    <row r="110" spans="1:22" ht="24" outlineLevel="1">
      <c r="A110" s="386" t="s">
        <v>1312</v>
      </c>
      <c r="B110" s="387">
        <f>162000*2</f>
        <v>324000</v>
      </c>
      <c r="C110" s="387"/>
      <c r="D110" s="387"/>
      <c r="E110" s="387"/>
      <c r="F110" s="387"/>
      <c r="G110" s="387">
        <v>324000</v>
      </c>
      <c r="H110" s="387"/>
      <c r="I110" s="387"/>
      <c r="J110" s="387"/>
      <c r="K110" s="387">
        <f>SUM(C110:J110)</f>
        <v>324000</v>
      </c>
      <c r="L110" s="388">
        <f t="shared" ref="L110" si="108">K110-C110-D110-E110-F110-G110-H110-I110-J110</f>
        <v>0</v>
      </c>
      <c r="M110" s="387"/>
      <c r="N110" s="387"/>
      <c r="O110" s="387"/>
      <c r="P110" s="387"/>
      <c r="Q110" s="387">
        <f>K110+M110+N110+O110+P110</f>
        <v>324000</v>
      </c>
      <c r="R110" s="381"/>
      <c r="S110" s="383"/>
      <c r="T110" s="383"/>
      <c r="U110" s="383"/>
    </row>
    <row r="111" spans="1:22">
      <c r="A111" s="380" t="s">
        <v>1313</v>
      </c>
      <c r="B111" s="380"/>
      <c r="C111" s="381"/>
      <c r="D111" s="381"/>
      <c r="E111" s="381"/>
      <c r="F111" s="381"/>
      <c r="G111" s="381"/>
      <c r="H111" s="381"/>
      <c r="I111" s="381"/>
      <c r="J111" s="381"/>
      <c r="K111" s="381">
        <v>3300000</v>
      </c>
      <c r="L111" s="382"/>
      <c r="M111" s="381"/>
      <c r="N111" s="381"/>
      <c r="O111" s="381"/>
      <c r="P111" s="381"/>
      <c r="Q111" s="381"/>
      <c r="R111" s="381">
        <f t="shared" si="107"/>
        <v>3300</v>
      </c>
      <c r="S111" s="383"/>
      <c r="T111" s="383"/>
      <c r="U111" s="383"/>
    </row>
    <row r="112" spans="1:22">
      <c r="A112" s="380" t="s">
        <v>1314</v>
      </c>
      <c r="B112" s="380"/>
      <c r="C112" s="380"/>
      <c r="D112" s="380"/>
      <c r="E112" s="380"/>
      <c r="F112" s="380"/>
      <c r="G112" s="380"/>
      <c r="H112" s="380"/>
      <c r="I112" s="380"/>
      <c r="J112" s="380"/>
      <c r="K112" s="381">
        <v>40306390.840000004</v>
      </c>
      <c r="L112" s="382"/>
      <c r="M112" s="381"/>
      <c r="N112" s="381"/>
      <c r="O112" s="381"/>
      <c r="P112" s="381"/>
      <c r="Q112" s="381"/>
      <c r="R112" s="381">
        <f t="shared" si="107"/>
        <v>40306.39084</v>
      </c>
      <c r="S112" s="383"/>
      <c r="T112" s="383"/>
      <c r="U112" s="383"/>
    </row>
    <row r="113" spans="1:21">
      <c r="A113" s="380" t="s">
        <v>1315</v>
      </c>
      <c r="B113" s="380"/>
      <c r="C113" s="380"/>
      <c r="D113" s="380"/>
      <c r="E113" s="380"/>
      <c r="F113" s="380"/>
      <c r="G113" s="380"/>
      <c r="H113" s="380"/>
      <c r="I113" s="380"/>
      <c r="J113" s="380"/>
      <c r="K113" s="381">
        <v>8522811.6199999992</v>
      </c>
      <c r="L113" s="382"/>
      <c r="M113" s="381"/>
      <c r="N113" s="381"/>
      <c r="O113" s="381"/>
      <c r="P113" s="381"/>
      <c r="Q113" s="381"/>
      <c r="R113" s="381">
        <f t="shared" si="107"/>
        <v>8522.8116199999986</v>
      </c>
      <c r="S113" s="383"/>
      <c r="T113" s="383"/>
      <c r="U113" s="383"/>
    </row>
    <row r="114" spans="1:21">
      <c r="A114" s="380" t="s">
        <v>1316</v>
      </c>
      <c r="B114" s="380"/>
      <c r="C114" s="381">
        <f t="shared" ref="C114:J114" si="109">SUM(C115:C115)</f>
        <v>0</v>
      </c>
      <c r="D114" s="381">
        <f t="shared" si="109"/>
        <v>0</v>
      </c>
      <c r="E114" s="381">
        <f t="shared" si="109"/>
        <v>0</v>
      </c>
      <c r="F114" s="381">
        <f t="shared" si="109"/>
        <v>16280648.16</v>
      </c>
      <c r="G114" s="381">
        <f t="shared" si="109"/>
        <v>0</v>
      </c>
      <c r="H114" s="381">
        <f t="shared" si="109"/>
        <v>0</v>
      </c>
      <c r="I114" s="381">
        <f t="shared" si="109"/>
        <v>15703774.800000001</v>
      </c>
      <c r="J114" s="381">
        <f t="shared" si="109"/>
        <v>0</v>
      </c>
      <c r="K114" s="381">
        <v>31984422.960000001</v>
      </c>
      <c r="L114" s="382">
        <f>K114-C114-D114-E114-F114-G114-H114-I114-J114</f>
        <v>0</v>
      </c>
      <c r="M114" s="381">
        <f>SUM(M115:M115)</f>
        <v>0</v>
      </c>
      <c r="N114" s="381">
        <f>SUM(N115:N115)</f>
        <v>12498922.800000001</v>
      </c>
      <c r="O114" s="381">
        <f>SUM(O115:O115)</f>
        <v>0</v>
      </c>
      <c r="P114" s="381">
        <f>SUM(P115:P115)</f>
        <v>12498922.800000004</v>
      </c>
      <c r="Q114" s="408">
        <f>SUM(Q115:Q115)</f>
        <v>56982268.56000001</v>
      </c>
      <c r="R114" s="381">
        <f t="shared" si="107"/>
        <v>31984.42296</v>
      </c>
      <c r="S114" s="383"/>
      <c r="T114" s="383"/>
      <c r="U114" s="383"/>
    </row>
    <row r="115" spans="1:21" ht="24" outlineLevel="1">
      <c r="A115" s="386" t="s">
        <v>1317</v>
      </c>
      <c r="B115" s="387">
        <v>56982268.560000002</v>
      </c>
      <c r="C115" s="387"/>
      <c r="D115" s="387"/>
      <c r="E115" s="387"/>
      <c r="F115" s="387">
        <v>16280648.16</v>
      </c>
      <c r="G115" s="387"/>
      <c r="H115" s="387"/>
      <c r="I115" s="387">
        <v>15703774.800000001</v>
      </c>
      <c r="J115" s="387"/>
      <c r="K115" s="387">
        <f>SUM(C115:J115)</f>
        <v>31984422.960000001</v>
      </c>
      <c r="L115" s="388">
        <f t="shared" ref="L115" si="110">K115-C115-D115-E115-F115-G115-H115-I115-J115</f>
        <v>0</v>
      </c>
      <c r="M115" s="387"/>
      <c r="N115" s="387">
        <v>12498922.800000001</v>
      </c>
      <c r="O115" s="387"/>
      <c r="P115" s="387">
        <f>B115-F115-I115-N115</f>
        <v>12498922.800000004</v>
      </c>
      <c r="Q115" s="409">
        <f>K115+M115+N115+O115+P115</f>
        <v>56982268.56000001</v>
      </c>
      <c r="R115" s="381"/>
      <c r="S115" s="383"/>
      <c r="T115" s="383"/>
      <c r="U115" s="383"/>
    </row>
    <row r="116" spans="1:21">
      <c r="A116" s="395" t="s">
        <v>1318</v>
      </c>
      <c r="B116" s="380"/>
      <c r="C116" s="381">
        <f>SUM(C117:C118)</f>
        <v>26630.19</v>
      </c>
      <c r="D116" s="381">
        <f t="shared" ref="D116:J116" si="111">SUM(D117:D118)</f>
        <v>356136.77</v>
      </c>
      <c r="E116" s="381">
        <f t="shared" si="111"/>
        <v>62329.24</v>
      </c>
      <c r="F116" s="381">
        <f t="shared" si="111"/>
        <v>62329.24</v>
      </c>
      <c r="G116" s="381">
        <f t="shared" si="111"/>
        <v>62329.24</v>
      </c>
      <c r="H116" s="381">
        <f t="shared" si="111"/>
        <v>62329.24</v>
      </c>
      <c r="I116" s="381">
        <f t="shared" si="111"/>
        <v>62329.24</v>
      </c>
      <c r="J116" s="381">
        <f t="shared" si="111"/>
        <v>62329.24</v>
      </c>
      <c r="K116" s="381">
        <v>756742.4</v>
      </c>
      <c r="L116" s="382">
        <f>K116-C116-D116-E116-F116-G116-H116-I116-J116</f>
        <v>1.0186340659856796E-10</v>
      </c>
      <c r="M116" s="381">
        <f t="shared" ref="M116" si="112">SUM(M117:M118)</f>
        <v>62329.24</v>
      </c>
      <c r="N116" s="381">
        <f t="shared" ref="N116:Q116" si="113">SUM(N117:N118)</f>
        <v>62329.24</v>
      </c>
      <c r="O116" s="381">
        <f t="shared" si="113"/>
        <v>62329.24</v>
      </c>
      <c r="P116" s="381">
        <f t="shared" si="113"/>
        <v>62329.24</v>
      </c>
      <c r="Q116" s="385">
        <f t="shared" si="113"/>
        <v>1006059.3600000001</v>
      </c>
      <c r="R116" s="381">
        <f t="shared" si="107"/>
        <v>756.74239999999998</v>
      </c>
      <c r="S116" s="383"/>
      <c r="T116" s="383"/>
      <c r="U116" s="383"/>
    </row>
    <row r="117" spans="1:21" outlineLevel="1">
      <c r="A117" s="380"/>
      <c r="B117" s="380"/>
      <c r="C117" s="387">
        <v>26630.19</v>
      </c>
      <c r="D117" s="387">
        <v>293807.53000000003</v>
      </c>
      <c r="E117" s="387"/>
      <c r="F117" s="387"/>
      <c r="G117" s="387"/>
      <c r="H117" s="387"/>
      <c r="I117" s="387"/>
      <c r="J117" s="387"/>
      <c r="K117" s="387">
        <f>SUM(C117:J117)</f>
        <v>320437.72000000003</v>
      </c>
      <c r="L117" s="388">
        <f t="shared" ref="L117:L118" si="114">K117-C117-D117-E117-F117-G117-H117-I117-J117</f>
        <v>0</v>
      </c>
      <c r="M117" s="387"/>
      <c r="N117" s="387"/>
      <c r="O117" s="387"/>
      <c r="P117" s="387"/>
      <c r="Q117" s="387">
        <f>K117+M117+N117+O117+P117</f>
        <v>320437.72000000003</v>
      </c>
      <c r="R117" s="381"/>
      <c r="S117" s="383"/>
      <c r="T117" s="383"/>
      <c r="U117" s="383"/>
    </row>
    <row r="118" spans="1:21" outlineLevel="1">
      <c r="A118" s="380"/>
      <c r="B118" s="380"/>
      <c r="C118" s="392"/>
      <c r="D118" s="387">
        <v>62329.24</v>
      </c>
      <c r="E118" s="387">
        <v>62329.24</v>
      </c>
      <c r="F118" s="387">
        <v>62329.24</v>
      </c>
      <c r="G118" s="387">
        <v>62329.24</v>
      </c>
      <c r="H118" s="387">
        <v>62329.24</v>
      </c>
      <c r="I118" s="387">
        <v>62329.24</v>
      </c>
      <c r="J118" s="387">
        <v>62329.24</v>
      </c>
      <c r="K118" s="387">
        <f>SUM(C118:J118)</f>
        <v>436304.68</v>
      </c>
      <c r="L118" s="388">
        <f t="shared" si="114"/>
        <v>0</v>
      </c>
      <c r="M118" s="387">
        <v>62329.24</v>
      </c>
      <c r="N118" s="387">
        <v>62329.24</v>
      </c>
      <c r="O118" s="387">
        <v>62329.24</v>
      </c>
      <c r="P118" s="387">
        <v>62329.24</v>
      </c>
      <c r="Q118" s="387">
        <f>K118+M118+N118+O118+P118</f>
        <v>685621.64</v>
      </c>
      <c r="R118" s="381"/>
      <c r="S118" s="383"/>
      <c r="T118" s="383"/>
      <c r="U118" s="383"/>
    </row>
    <row r="119" spans="1:21">
      <c r="A119" s="395" t="s">
        <v>1319</v>
      </c>
      <c r="B119" s="380"/>
      <c r="C119" s="381">
        <f>SUM(C120:C121)</f>
        <v>504984.71</v>
      </c>
      <c r="D119" s="381">
        <f t="shared" ref="D119:J119" si="115">SUM(D120:D121)</f>
        <v>504984.71</v>
      </c>
      <c r="E119" s="381">
        <f t="shared" si="115"/>
        <v>504984.71</v>
      </c>
      <c r="F119" s="381">
        <f t="shared" si="115"/>
        <v>504984.71</v>
      </c>
      <c r="G119" s="381">
        <f t="shared" si="115"/>
        <v>1317436.3799999999</v>
      </c>
      <c r="H119" s="381">
        <f t="shared" si="115"/>
        <v>1410960.75</v>
      </c>
      <c r="I119" s="381">
        <f t="shared" si="115"/>
        <v>1410960.75</v>
      </c>
      <c r="J119" s="381">
        <f t="shared" si="115"/>
        <v>1410960.75</v>
      </c>
      <c r="K119" s="381">
        <v>7570257.4699999997</v>
      </c>
      <c r="L119" s="382">
        <f>K119-C119-D119-E119-F119-G119-H119-I119-J119</f>
        <v>0</v>
      </c>
      <c r="M119" s="381">
        <f t="shared" ref="M119" si="116">SUM(M120:M121)</f>
        <v>1410960.75</v>
      </c>
      <c r="N119" s="381">
        <f t="shared" ref="N119:Q119" si="117">SUM(N120:N121)</f>
        <v>1410960.75</v>
      </c>
      <c r="O119" s="381">
        <f t="shared" si="117"/>
        <v>1410960.75</v>
      </c>
      <c r="P119" s="381">
        <f t="shared" si="117"/>
        <v>1410960.75</v>
      </c>
      <c r="Q119" s="385">
        <f t="shared" si="117"/>
        <v>13214100.470000001</v>
      </c>
      <c r="R119" s="381">
        <f t="shared" si="107"/>
        <v>7570.2574699999996</v>
      </c>
      <c r="S119" s="383"/>
      <c r="T119" s="383"/>
      <c r="U119" s="383"/>
    </row>
    <row r="120" spans="1:21" outlineLevel="1">
      <c r="A120" s="380"/>
      <c r="B120" s="380"/>
      <c r="C120" s="387">
        <v>504984.71</v>
      </c>
      <c r="D120" s="387">
        <v>504984.71</v>
      </c>
      <c r="E120" s="387">
        <v>504984.71</v>
      </c>
      <c r="F120" s="387">
        <v>504984.71</v>
      </c>
      <c r="G120" s="387">
        <v>66524.899999999994</v>
      </c>
      <c r="H120" s="387"/>
      <c r="I120" s="387"/>
      <c r="J120" s="387"/>
      <c r="K120" s="387">
        <f>SUM(C120:J120)</f>
        <v>2086463.74</v>
      </c>
      <c r="L120" s="388">
        <f t="shared" ref="L120:L121" si="118">K120-C120-D120-E120-F120-G120-H120-I120-J120</f>
        <v>8.7311491370201111E-11</v>
      </c>
      <c r="M120" s="387"/>
      <c r="N120" s="387"/>
      <c r="O120" s="387"/>
      <c r="P120" s="387"/>
      <c r="Q120" s="387">
        <f>K120+M120+N120+O120+P120</f>
        <v>2086463.74</v>
      </c>
      <c r="R120" s="381"/>
      <c r="S120" s="383"/>
      <c r="T120" s="383"/>
      <c r="U120" s="383"/>
    </row>
    <row r="121" spans="1:21" outlineLevel="1">
      <c r="A121" s="380"/>
      <c r="B121" s="380"/>
      <c r="C121" s="392"/>
      <c r="D121" s="392"/>
      <c r="E121" s="387"/>
      <c r="F121" s="387"/>
      <c r="G121" s="387">
        <v>1250911.48</v>
      </c>
      <c r="H121" s="387">
        <v>1410960.75</v>
      </c>
      <c r="I121" s="387">
        <v>1410960.75</v>
      </c>
      <c r="J121" s="387">
        <v>1410960.75</v>
      </c>
      <c r="K121" s="387">
        <f>SUM(C121:J121)</f>
        <v>5483793.7300000004</v>
      </c>
      <c r="L121" s="388">
        <f t="shared" si="118"/>
        <v>0</v>
      </c>
      <c r="M121" s="387">
        <v>1410960.75</v>
      </c>
      <c r="N121" s="387">
        <v>1410960.75</v>
      </c>
      <c r="O121" s="387">
        <v>1410960.75</v>
      </c>
      <c r="P121" s="387">
        <v>1410960.75</v>
      </c>
      <c r="Q121" s="387">
        <f>K121+M121+N121+O121+P121</f>
        <v>11127636.73</v>
      </c>
      <c r="R121" s="381"/>
      <c r="S121" s="383"/>
      <c r="T121" s="383"/>
      <c r="U121" s="383"/>
    </row>
    <row r="122" spans="1:21">
      <c r="A122" s="395" t="s">
        <v>1320</v>
      </c>
      <c r="B122" s="380"/>
      <c r="C122" s="381">
        <f>SUM(C123:C124)</f>
        <v>628527.27</v>
      </c>
      <c r="D122" s="381">
        <f t="shared" ref="D122:J122" si="119">SUM(D123:D124)</f>
        <v>628527.27</v>
      </c>
      <c r="E122" s="381">
        <f t="shared" si="119"/>
        <v>937867.60000000009</v>
      </c>
      <c r="F122" s="381">
        <f t="shared" si="119"/>
        <v>1217328.46</v>
      </c>
      <c r="G122" s="381">
        <f t="shared" si="119"/>
        <v>630201.23</v>
      </c>
      <c r="H122" s="381">
        <f t="shared" si="119"/>
        <v>588801.18999999994</v>
      </c>
      <c r="I122" s="381">
        <f t="shared" si="119"/>
        <v>588801.18999999994</v>
      </c>
      <c r="J122" s="381">
        <f t="shared" si="119"/>
        <v>588801.18999999994</v>
      </c>
      <c r="K122" s="381">
        <v>5808855.4000000004</v>
      </c>
      <c r="L122" s="382">
        <f>K122-C122-D122-E122-F122-G122-H122-I122-J122</f>
        <v>1.3969838619232178E-9</v>
      </c>
      <c r="M122" s="381">
        <f t="shared" ref="M122" si="120">SUM(M123:M124)</f>
        <v>588801.18999999994</v>
      </c>
      <c r="N122" s="381">
        <f t="shared" ref="N122:Q122" si="121">SUM(N123:N124)</f>
        <v>588801.18999999994</v>
      </c>
      <c r="O122" s="381">
        <f t="shared" si="121"/>
        <v>588801.18999999994</v>
      </c>
      <c r="P122" s="381">
        <f t="shared" si="121"/>
        <v>588801.18999999994</v>
      </c>
      <c r="Q122" s="385">
        <f t="shared" si="121"/>
        <v>8164060.1599999992</v>
      </c>
      <c r="R122" s="381">
        <f t="shared" si="107"/>
        <v>5808.8554000000004</v>
      </c>
      <c r="S122" s="383"/>
      <c r="T122" s="383"/>
      <c r="U122" s="383"/>
    </row>
    <row r="123" spans="1:21" outlineLevel="1">
      <c r="A123" s="380"/>
      <c r="B123" s="380"/>
      <c r="C123" s="387">
        <v>628527.27</v>
      </c>
      <c r="D123" s="387">
        <v>628527.27</v>
      </c>
      <c r="E123" s="387">
        <v>628527.27</v>
      </c>
      <c r="F123" s="387">
        <v>628527.27</v>
      </c>
      <c r="G123" s="387">
        <v>41400.04</v>
      </c>
      <c r="H123" s="387"/>
      <c r="I123" s="387"/>
      <c r="J123" s="387"/>
      <c r="K123" s="387">
        <f>SUM(C123:J123)</f>
        <v>2555509.12</v>
      </c>
      <c r="L123" s="388">
        <f t="shared" ref="L123:L124" si="122">K123-C123-D123-E123-F123-G123-H123-I123-J123</f>
        <v>3.637978807091713E-11</v>
      </c>
      <c r="M123" s="387"/>
      <c r="N123" s="387"/>
      <c r="O123" s="387"/>
      <c r="P123" s="387"/>
      <c r="Q123" s="387">
        <f>K123+M123+N123+O123+P123</f>
        <v>2555509.12</v>
      </c>
      <c r="R123" s="381"/>
      <c r="S123" s="383"/>
      <c r="T123" s="383"/>
      <c r="U123" s="383"/>
    </row>
    <row r="124" spans="1:21" outlineLevel="1">
      <c r="A124" s="380"/>
      <c r="B124" s="380"/>
      <c r="C124" s="392"/>
      <c r="D124" s="392"/>
      <c r="E124" s="387">
        <v>309340.33</v>
      </c>
      <c r="F124" s="387">
        <v>588801.18999999994</v>
      </c>
      <c r="G124" s="387">
        <v>588801.18999999994</v>
      </c>
      <c r="H124" s="387">
        <v>588801.18999999994</v>
      </c>
      <c r="I124" s="387">
        <v>588801.18999999994</v>
      </c>
      <c r="J124" s="387">
        <v>588801.18999999994</v>
      </c>
      <c r="K124" s="387">
        <f>SUM(C124:J124)</f>
        <v>3253346.28</v>
      </c>
      <c r="L124" s="388">
        <f t="shared" si="122"/>
        <v>0</v>
      </c>
      <c r="M124" s="387">
        <v>588801.18999999994</v>
      </c>
      <c r="N124" s="387">
        <v>588801.18999999994</v>
      </c>
      <c r="O124" s="387">
        <v>588801.18999999994</v>
      </c>
      <c r="P124" s="387">
        <v>588801.18999999994</v>
      </c>
      <c r="Q124" s="387">
        <f>K124+M124+N124+O124+P124</f>
        <v>5608551.0399999991</v>
      </c>
      <c r="R124" s="381"/>
      <c r="S124" s="383"/>
      <c r="T124" s="383"/>
      <c r="U124" s="383"/>
    </row>
    <row r="125" spans="1:21" ht="24">
      <c r="A125" s="380" t="s">
        <v>1321</v>
      </c>
      <c r="B125" s="380"/>
      <c r="C125" s="381">
        <f t="shared" ref="C125:J125" si="123">SUM(C126:C126)</f>
        <v>13800</v>
      </c>
      <c r="D125" s="381">
        <f t="shared" si="123"/>
        <v>13800</v>
      </c>
      <c r="E125" s="381">
        <f t="shared" si="123"/>
        <v>13800</v>
      </c>
      <c r="F125" s="381">
        <f t="shared" si="123"/>
        <v>13800</v>
      </c>
      <c r="G125" s="381">
        <f t="shared" si="123"/>
        <v>13800</v>
      </c>
      <c r="H125" s="381">
        <f t="shared" si="123"/>
        <v>13800</v>
      </c>
      <c r="I125" s="381">
        <f t="shared" si="123"/>
        <v>13800</v>
      </c>
      <c r="J125" s="381">
        <f t="shared" si="123"/>
        <v>13800</v>
      </c>
      <c r="K125" s="381">
        <v>110400</v>
      </c>
      <c r="L125" s="382">
        <f>K125-C125-D125-E125-F125-G125-H125-I125-J125</f>
        <v>0</v>
      </c>
      <c r="M125" s="381">
        <f>SUM(M126:M126)</f>
        <v>13800</v>
      </c>
      <c r="N125" s="381">
        <f>SUM(N126:N126)</f>
        <v>13800</v>
      </c>
      <c r="O125" s="381">
        <f>SUM(O126:O126)</f>
        <v>13800</v>
      </c>
      <c r="P125" s="381">
        <f>SUM(P126:P126)</f>
        <v>13800</v>
      </c>
      <c r="Q125" s="385">
        <f>SUM(Q126:Q126)</f>
        <v>165600</v>
      </c>
      <c r="R125" s="381">
        <f t="shared" si="107"/>
        <v>110.4</v>
      </c>
      <c r="S125" s="383"/>
      <c r="T125" s="383"/>
      <c r="U125" s="383"/>
    </row>
    <row r="126" spans="1:21" ht="24" outlineLevel="1">
      <c r="A126" s="386" t="s">
        <v>1322</v>
      </c>
      <c r="B126" s="387">
        <v>165600</v>
      </c>
      <c r="C126" s="387">
        <v>13800</v>
      </c>
      <c r="D126" s="387">
        <v>13800</v>
      </c>
      <c r="E126" s="387">
        <v>13800</v>
      </c>
      <c r="F126" s="387">
        <v>13800</v>
      </c>
      <c r="G126" s="387">
        <v>13800</v>
      </c>
      <c r="H126" s="387">
        <v>13800</v>
      </c>
      <c r="I126" s="387">
        <v>13800</v>
      </c>
      <c r="J126" s="387">
        <v>13800</v>
      </c>
      <c r="K126" s="387">
        <f>SUM(C126:J126)</f>
        <v>110400</v>
      </c>
      <c r="L126" s="388">
        <f t="shared" ref="L126" si="124">K126-C126-D126-E126-F126-G126-H126-I126-J126</f>
        <v>0</v>
      </c>
      <c r="M126" s="387">
        <v>13800</v>
      </c>
      <c r="N126" s="387">
        <v>13800</v>
      </c>
      <c r="O126" s="387">
        <v>13800</v>
      </c>
      <c r="P126" s="387">
        <v>13800</v>
      </c>
      <c r="Q126" s="387">
        <f>K126+M126+N126+O126+P126</f>
        <v>165600</v>
      </c>
      <c r="R126" s="381"/>
      <c r="S126" s="383"/>
      <c r="T126" s="383"/>
      <c r="U126" s="383"/>
    </row>
    <row r="127" spans="1:21">
      <c r="A127" s="380" t="s">
        <v>1323</v>
      </c>
      <c r="B127" s="380"/>
      <c r="C127" s="381">
        <f>SUM(C128:C129)</f>
        <v>549945</v>
      </c>
      <c r="D127" s="381">
        <f t="shared" ref="D127:J127" si="125">SUM(D128:D129)</f>
        <v>280467</v>
      </c>
      <c r="E127" s="381">
        <f t="shared" si="125"/>
        <v>0</v>
      </c>
      <c r="F127" s="381">
        <f t="shared" si="125"/>
        <v>0</v>
      </c>
      <c r="G127" s="381">
        <f t="shared" si="125"/>
        <v>0</v>
      </c>
      <c r="H127" s="381">
        <f t="shared" si="125"/>
        <v>34305</v>
      </c>
      <c r="I127" s="381">
        <f t="shared" si="125"/>
        <v>89193</v>
      </c>
      <c r="J127" s="381">
        <f t="shared" si="125"/>
        <v>1073746</v>
      </c>
      <c r="K127" s="381">
        <v>953910</v>
      </c>
      <c r="L127" s="382">
        <f>K127-C127-D127-E127-F127-G127-H127-I127-J127</f>
        <v>-1073746</v>
      </c>
      <c r="M127" s="381">
        <f t="shared" ref="M127" si="126">SUM(M128:M129)</f>
        <v>89193</v>
      </c>
      <c r="N127" s="381">
        <f t="shared" ref="N127:P127" si="127">SUM(N128:N129)</f>
        <v>904521</v>
      </c>
      <c r="O127" s="381">
        <f t="shared" si="127"/>
        <v>904521</v>
      </c>
      <c r="P127" s="381">
        <f t="shared" si="127"/>
        <v>904521</v>
      </c>
      <c r="Q127" s="408">
        <f>SUM(Q128:Q129)</f>
        <v>4830412</v>
      </c>
      <c r="R127" s="381">
        <f t="shared" si="107"/>
        <v>953.91</v>
      </c>
      <c r="S127" s="383"/>
      <c r="T127" s="383"/>
      <c r="U127" s="383"/>
    </row>
    <row r="128" spans="1:21" ht="24" outlineLevel="1">
      <c r="A128" s="386" t="s">
        <v>1324</v>
      </c>
      <c r="B128" s="409">
        <v>1145833.33</v>
      </c>
      <c r="C128" s="387">
        <v>549945</v>
      </c>
      <c r="D128" s="387">
        <v>280467</v>
      </c>
      <c r="E128" s="387"/>
      <c r="F128" s="387"/>
      <c r="G128" s="387"/>
      <c r="H128" s="387"/>
      <c r="I128" s="387"/>
      <c r="J128" s="387"/>
      <c r="K128" s="387">
        <f>SUM(C128:J128)</f>
        <v>830412</v>
      </c>
      <c r="L128" s="388">
        <f t="shared" ref="L128:L129" si="128">K128-C128-D128-E128-F128-G128-H128-I128-J128</f>
        <v>0</v>
      </c>
      <c r="M128" s="387"/>
      <c r="N128" s="387"/>
      <c r="O128" s="387"/>
      <c r="P128" s="387"/>
      <c r="Q128" s="409">
        <f>K128+M128+N128+O128+P128</f>
        <v>830412</v>
      </c>
      <c r="R128" s="381"/>
      <c r="S128" s="383"/>
      <c r="T128" s="383"/>
      <c r="U128" s="383"/>
    </row>
    <row r="129" spans="1:21" ht="24" outlineLevel="1">
      <c r="A129" s="386" t="s">
        <v>1325</v>
      </c>
      <c r="B129" s="409">
        <v>4000000</v>
      </c>
      <c r="C129" s="392"/>
      <c r="D129" s="392"/>
      <c r="E129" s="387"/>
      <c r="F129" s="387"/>
      <c r="G129" s="387"/>
      <c r="H129" s="387">
        <v>34305</v>
      </c>
      <c r="I129" s="387">
        <v>89193</v>
      </c>
      <c r="J129" s="387">
        <v>1073746</v>
      </c>
      <c r="K129" s="387">
        <f>SUM(C129:J129)</f>
        <v>1197244</v>
      </c>
      <c r="L129" s="388">
        <f t="shared" si="128"/>
        <v>0</v>
      </c>
      <c r="M129" s="387">
        <v>89193</v>
      </c>
      <c r="N129" s="387">
        <f>(B129-H129-I129-J129-M129)/3</f>
        <v>904521</v>
      </c>
      <c r="O129" s="387">
        <f t="shared" ref="O129:P129" si="129">N129</f>
        <v>904521</v>
      </c>
      <c r="P129" s="387">
        <f t="shared" si="129"/>
        <v>904521</v>
      </c>
      <c r="Q129" s="409">
        <f>K129+M129+N129+O129+P129</f>
        <v>4000000</v>
      </c>
      <c r="R129" s="381"/>
      <c r="S129" s="383"/>
      <c r="T129" s="383"/>
      <c r="U129" s="383"/>
    </row>
    <row r="130" spans="1:21" ht="24">
      <c r="A130" s="380" t="s">
        <v>1326</v>
      </c>
      <c r="B130" s="380"/>
      <c r="C130" s="381">
        <f>SUM(C131:C132)</f>
        <v>465283</v>
      </c>
      <c r="D130" s="381">
        <f t="shared" ref="D130:J130" si="130">SUM(D131:D132)</f>
        <v>465283</v>
      </c>
      <c r="E130" s="381">
        <f t="shared" si="130"/>
        <v>981096</v>
      </c>
      <c r="F130" s="381">
        <f t="shared" si="130"/>
        <v>0</v>
      </c>
      <c r="G130" s="381">
        <f t="shared" si="130"/>
        <v>0</v>
      </c>
      <c r="H130" s="381">
        <f t="shared" si="130"/>
        <v>2943287.44</v>
      </c>
      <c r="I130" s="381">
        <f t="shared" si="130"/>
        <v>0</v>
      </c>
      <c r="J130" s="381">
        <f t="shared" si="130"/>
        <v>0</v>
      </c>
      <c r="K130" s="381">
        <v>4854949.4400000004</v>
      </c>
      <c r="L130" s="382">
        <f>K130-C130-D130-E130-F130-G130-H130-I130-J130</f>
        <v>4.6566128730773926E-10</v>
      </c>
      <c r="M130" s="381">
        <f t="shared" ref="M130" si="131">SUM(M131:M132)</f>
        <v>2943287.44</v>
      </c>
      <c r="N130" s="381">
        <f t="shared" ref="N130:Q130" si="132">SUM(N131:N132)</f>
        <v>0</v>
      </c>
      <c r="O130" s="381">
        <f t="shared" si="132"/>
        <v>0</v>
      </c>
      <c r="P130" s="381">
        <f t="shared" si="132"/>
        <v>2943287.44</v>
      </c>
      <c r="Q130" s="385">
        <f t="shared" si="132"/>
        <v>10741524.32</v>
      </c>
      <c r="R130" s="381">
        <f t="shared" si="107"/>
        <v>4854.9494400000003</v>
      </c>
      <c r="S130" s="383"/>
      <c r="T130" s="383"/>
      <c r="U130" s="383"/>
    </row>
    <row r="131" spans="1:21" ht="24" outlineLevel="1">
      <c r="A131" s="386" t="s">
        <v>1327</v>
      </c>
      <c r="B131" s="387">
        <v>930566</v>
      </c>
      <c r="C131" s="387">
        <v>465283</v>
      </c>
      <c r="D131" s="387">
        <v>465283</v>
      </c>
      <c r="E131" s="387"/>
      <c r="F131" s="387"/>
      <c r="G131" s="387"/>
      <c r="H131" s="387"/>
      <c r="I131" s="387"/>
      <c r="J131" s="387"/>
      <c r="K131" s="387">
        <f>SUM(C131:J131)</f>
        <v>930566</v>
      </c>
      <c r="L131" s="388">
        <f t="shared" ref="L131:L132" si="133">K131-C131-D131-E131-F131-G131-H131-I131-J131</f>
        <v>0</v>
      </c>
      <c r="M131" s="387"/>
      <c r="N131" s="387"/>
      <c r="O131" s="387"/>
      <c r="P131" s="387"/>
      <c r="Q131" s="387">
        <f>K131+M131+N131+O131+P131</f>
        <v>930566</v>
      </c>
      <c r="R131" s="381"/>
      <c r="S131" s="383"/>
      <c r="T131" s="383"/>
      <c r="U131" s="383"/>
    </row>
    <row r="132" spans="1:21" ht="24" outlineLevel="1">
      <c r="A132" s="386" t="s">
        <v>1328</v>
      </c>
      <c r="B132" s="387">
        <v>9810958.3300000001</v>
      </c>
      <c r="C132" s="392"/>
      <c r="D132" s="392"/>
      <c r="E132" s="387">
        <v>981096</v>
      </c>
      <c r="F132" s="387"/>
      <c r="G132" s="387"/>
      <c r="H132" s="387">
        <v>2943287.44</v>
      </c>
      <c r="I132" s="387"/>
      <c r="J132" s="387"/>
      <c r="K132" s="387">
        <f>SUM(C132:J132)</f>
        <v>3924383.44</v>
      </c>
      <c r="L132" s="388">
        <f t="shared" si="133"/>
        <v>0</v>
      </c>
      <c r="M132" s="387">
        <v>2943287.44</v>
      </c>
      <c r="N132" s="387"/>
      <c r="O132" s="387"/>
      <c r="P132" s="387">
        <v>2943287.44</v>
      </c>
      <c r="Q132" s="387">
        <f>K132+M132+N132+O132+P132</f>
        <v>9810958.3200000003</v>
      </c>
      <c r="R132" s="381"/>
      <c r="S132" s="383"/>
      <c r="T132" s="383"/>
      <c r="U132" s="383"/>
    </row>
    <row r="133" spans="1:21">
      <c r="A133" s="380" t="s">
        <v>1329</v>
      </c>
      <c r="B133" s="380"/>
      <c r="C133" s="381">
        <f>SUM(C134:C135)</f>
        <v>840000</v>
      </c>
      <c r="D133" s="381">
        <f t="shared" ref="D133:J133" si="134">SUM(D134:D135)</f>
        <v>840000</v>
      </c>
      <c r="E133" s="381">
        <f t="shared" si="134"/>
        <v>0</v>
      </c>
      <c r="F133" s="381">
        <f t="shared" si="134"/>
        <v>350324.41</v>
      </c>
      <c r="G133" s="381">
        <f t="shared" si="134"/>
        <v>965125</v>
      </c>
      <c r="H133" s="381">
        <f t="shared" si="134"/>
        <v>965125</v>
      </c>
      <c r="I133" s="381">
        <f t="shared" si="134"/>
        <v>965125</v>
      </c>
      <c r="J133" s="381">
        <f t="shared" si="134"/>
        <v>965125</v>
      </c>
      <c r="K133" s="381">
        <v>4925699.41</v>
      </c>
      <c r="L133" s="382">
        <f>K133-C133-D133-E133-F133-G133-H133-I133-J133</f>
        <v>-965125</v>
      </c>
      <c r="M133" s="381">
        <f t="shared" ref="M133" si="135">SUM(M134:M135)</f>
        <v>965125</v>
      </c>
      <c r="N133" s="381">
        <f t="shared" ref="N133:Q133" si="136">SUM(N134:N135)</f>
        <v>965125</v>
      </c>
      <c r="O133" s="381">
        <f t="shared" si="136"/>
        <v>965125</v>
      </c>
      <c r="P133" s="381">
        <f t="shared" si="136"/>
        <v>965125</v>
      </c>
      <c r="Q133" s="408">
        <f t="shared" si="136"/>
        <v>9751324.4100000001</v>
      </c>
      <c r="R133" s="381">
        <f t="shared" si="107"/>
        <v>4925.6994100000002</v>
      </c>
      <c r="S133" s="383"/>
      <c r="T133" s="383"/>
      <c r="U133" s="383"/>
    </row>
    <row r="134" spans="1:21" ht="24" outlineLevel="1">
      <c r="A134" s="386" t="s">
        <v>1330</v>
      </c>
      <c r="B134" s="387">
        <v>1881600</v>
      </c>
      <c r="C134" s="387">
        <v>840000</v>
      </c>
      <c r="D134" s="387">
        <v>840000</v>
      </c>
      <c r="E134" s="387"/>
      <c r="F134" s="387"/>
      <c r="G134" s="387"/>
      <c r="H134" s="387"/>
      <c r="I134" s="387"/>
      <c r="J134" s="387"/>
      <c r="K134" s="387">
        <f>SUM(C134:J134)</f>
        <v>1680000</v>
      </c>
      <c r="L134" s="388">
        <f t="shared" ref="L134:L135" si="137">K134-C134-D134-E134-F134-G134-H134-I134-J134</f>
        <v>0</v>
      </c>
      <c r="M134" s="387"/>
      <c r="N134" s="387"/>
      <c r="O134" s="387"/>
      <c r="P134" s="387"/>
      <c r="Q134" s="409">
        <f>K134+M134+N134+O134+P134</f>
        <v>1680000</v>
      </c>
      <c r="R134" s="381"/>
      <c r="S134" s="383"/>
      <c r="T134" s="383"/>
      <c r="U134" s="383"/>
    </row>
    <row r="135" spans="1:21" ht="24" outlineLevel="1">
      <c r="A135" s="386" t="s">
        <v>1331</v>
      </c>
      <c r="B135" s="387">
        <v>8071324.4100000001</v>
      </c>
      <c r="C135" s="392"/>
      <c r="D135" s="392"/>
      <c r="E135" s="387"/>
      <c r="F135" s="387">
        <v>350324.41</v>
      </c>
      <c r="G135" s="387">
        <v>965125</v>
      </c>
      <c r="H135" s="387">
        <v>965125</v>
      </c>
      <c r="I135" s="387">
        <v>965125</v>
      </c>
      <c r="J135" s="387">
        <v>965125</v>
      </c>
      <c r="K135" s="387">
        <f>SUM(C135:J135)</f>
        <v>4210824.41</v>
      </c>
      <c r="L135" s="388">
        <f t="shared" si="137"/>
        <v>0</v>
      </c>
      <c r="M135" s="387">
        <v>965125</v>
      </c>
      <c r="N135" s="387">
        <v>965125</v>
      </c>
      <c r="O135" s="387">
        <v>965125</v>
      </c>
      <c r="P135" s="387">
        <v>965125</v>
      </c>
      <c r="Q135" s="409">
        <f>K135+M135+N135+O135+P135</f>
        <v>8071324.4100000001</v>
      </c>
      <c r="R135" s="381"/>
      <c r="S135" s="383"/>
      <c r="T135" s="383"/>
      <c r="U135" s="383"/>
    </row>
    <row r="136" spans="1:21" ht="24">
      <c r="A136" s="380" t="s">
        <v>1332</v>
      </c>
      <c r="B136" s="380"/>
      <c r="C136" s="381">
        <f t="shared" ref="C136:J136" si="138">SUM(C137:C137)</f>
        <v>0</v>
      </c>
      <c r="D136" s="381">
        <f t="shared" si="138"/>
        <v>0</v>
      </c>
      <c r="E136" s="381">
        <f t="shared" si="138"/>
        <v>0</v>
      </c>
      <c r="F136" s="381">
        <f t="shared" si="138"/>
        <v>44000</v>
      </c>
      <c r="G136" s="381">
        <f t="shared" si="138"/>
        <v>88000</v>
      </c>
      <c r="H136" s="381">
        <f t="shared" si="138"/>
        <v>0</v>
      </c>
      <c r="I136" s="381">
        <f t="shared" si="138"/>
        <v>0</v>
      </c>
      <c r="J136" s="381">
        <f t="shared" si="138"/>
        <v>0</v>
      </c>
      <c r="K136" s="381">
        <v>132000</v>
      </c>
      <c r="L136" s="382">
        <f>K136-C136-D136-E136-F136-G136-H136-I136-J136</f>
        <v>0</v>
      </c>
      <c r="M136" s="381">
        <f>SUM(M137:M137)</f>
        <v>0</v>
      </c>
      <c r="N136" s="381">
        <f>SUM(N137:N137)</f>
        <v>0</v>
      </c>
      <c r="O136" s="381">
        <f>SUM(O137:O137)</f>
        <v>0</v>
      </c>
      <c r="P136" s="381">
        <f>SUM(P137:P137)</f>
        <v>533000</v>
      </c>
      <c r="Q136" s="385">
        <f>SUM(Q137:Q137)</f>
        <v>665000</v>
      </c>
      <c r="R136" s="381">
        <f t="shared" si="107"/>
        <v>132</v>
      </c>
      <c r="S136" s="383"/>
      <c r="T136" s="383"/>
      <c r="U136" s="383"/>
    </row>
    <row r="137" spans="1:21" ht="24" outlineLevel="1">
      <c r="A137" s="386" t="s">
        <v>1333</v>
      </c>
      <c r="B137" s="387">
        <v>665000</v>
      </c>
      <c r="C137" s="387"/>
      <c r="D137" s="387"/>
      <c r="E137" s="387"/>
      <c r="F137" s="387">
        <v>44000</v>
      </c>
      <c r="G137" s="387">
        <v>88000</v>
      </c>
      <c r="H137" s="387"/>
      <c r="I137" s="387"/>
      <c r="J137" s="387"/>
      <c r="K137" s="387">
        <f>SUM(C137:J137)</f>
        <v>132000</v>
      </c>
      <c r="L137" s="388">
        <f t="shared" ref="L137" si="139">K137-C137-D137-E137-F137-G137-H137-I137-J137</f>
        <v>0</v>
      </c>
      <c r="M137" s="387"/>
      <c r="N137" s="387"/>
      <c r="O137" s="387"/>
      <c r="P137" s="387">
        <f>B137-K137</f>
        <v>533000</v>
      </c>
      <c r="Q137" s="387">
        <f>K137+M137+N137+O137+P137</f>
        <v>665000</v>
      </c>
      <c r="R137" s="381"/>
      <c r="S137" s="383"/>
      <c r="T137" s="383"/>
      <c r="U137" s="383"/>
    </row>
    <row r="138" spans="1:21">
      <c r="A138" s="380" t="s">
        <v>1334</v>
      </c>
      <c r="B138" s="380"/>
      <c r="C138" s="381">
        <f>SUM(C139:C140)</f>
        <v>980000</v>
      </c>
      <c r="D138" s="381">
        <f t="shared" ref="D138:J138" si="140">SUM(D139:D140)</f>
        <v>980000</v>
      </c>
      <c r="E138" s="381">
        <f t="shared" si="140"/>
        <v>1300000</v>
      </c>
      <c r="F138" s="381">
        <f t="shared" si="140"/>
        <v>1300000</v>
      </c>
      <c r="G138" s="381">
        <f t="shared" si="140"/>
        <v>1300000</v>
      </c>
      <c r="H138" s="381">
        <f t="shared" si="140"/>
        <v>1300000</v>
      </c>
      <c r="I138" s="381">
        <f t="shared" si="140"/>
        <v>1300000</v>
      </c>
      <c r="J138" s="381">
        <f t="shared" si="140"/>
        <v>1300000</v>
      </c>
      <c r="K138" s="381">
        <v>8460000</v>
      </c>
      <c r="L138" s="382">
        <f>K138-C138-D138-E138-F138-G138-H138-I138-J138</f>
        <v>-1300000</v>
      </c>
      <c r="M138" s="381">
        <f t="shared" ref="M138" si="141">SUM(M139:M140)</f>
        <v>1300000</v>
      </c>
      <c r="N138" s="381">
        <f t="shared" ref="N138:Q138" si="142">SUM(N139:N140)</f>
        <v>1300000</v>
      </c>
      <c r="O138" s="381">
        <f t="shared" si="142"/>
        <v>1300000</v>
      </c>
      <c r="P138" s="381">
        <f t="shared" si="142"/>
        <v>1300000</v>
      </c>
      <c r="Q138" s="408">
        <f t="shared" si="142"/>
        <v>14960000</v>
      </c>
      <c r="R138" s="385">
        <f t="shared" si="107"/>
        <v>8460</v>
      </c>
      <c r="S138" s="383"/>
      <c r="T138" s="383"/>
      <c r="U138" s="383"/>
    </row>
    <row r="139" spans="1:21" ht="24" outlineLevel="1">
      <c r="A139" s="386" t="s">
        <v>1335</v>
      </c>
      <c r="B139" s="387">
        <v>1960000</v>
      </c>
      <c r="C139" s="387">
        <v>980000</v>
      </c>
      <c r="D139" s="387">
        <v>980000</v>
      </c>
      <c r="E139" s="387"/>
      <c r="F139" s="387"/>
      <c r="G139" s="387"/>
      <c r="H139" s="387"/>
      <c r="I139" s="387"/>
      <c r="J139" s="387"/>
      <c r="K139" s="387">
        <f>SUM(C139:J139)</f>
        <v>1960000</v>
      </c>
      <c r="L139" s="388">
        <f t="shared" ref="L139:L140" si="143">K139-C139-D139-E139-F139-G139-H139-I139-J139</f>
        <v>0</v>
      </c>
      <c r="M139" s="387"/>
      <c r="N139" s="387"/>
      <c r="O139" s="387"/>
      <c r="P139" s="387"/>
      <c r="Q139" s="409">
        <f>K139+M139+N139+O139+P139</f>
        <v>1960000</v>
      </c>
      <c r="R139" s="381"/>
      <c r="S139" s="383"/>
      <c r="T139" s="383"/>
      <c r="U139" s="383"/>
    </row>
    <row r="140" spans="1:21" ht="24" outlineLevel="1">
      <c r="A140" s="386" t="s">
        <v>1336</v>
      </c>
      <c r="B140" s="387">
        <v>13000000</v>
      </c>
      <c r="C140" s="392"/>
      <c r="D140" s="392"/>
      <c r="E140" s="387">
        <v>1300000</v>
      </c>
      <c r="F140" s="387">
        <v>1300000</v>
      </c>
      <c r="G140" s="387">
        <v>1300000</v>
      </c>
      <c r="H140" s="387">
        <v>1300000</v>
      </c>
      <c r="I140" s="387">
        <v>1300000</v>
      </c>
      <c r="J140" s="387">
        <v>1300000</v>
      </c>
      <c r="K140" s="387">
        <f>SUM(C140:J140)</f>
        <v>7800000</v>
      </c>
      <c r="L140" s="388">
        <f t="shared" si="143"/>
        <v>0</v>
      </c>
      <c r="M140" s="387">
        <f>$K140/6</f>
        <v>1300000</v>
      </c>
      <c r="N140" s="387">
        <f t="shared" ref="N140:P140" si="144">$K140/6</f>
        <v>1300000</v>
      </c>
      <c r="O140" s="387">
        <f t="shared" si="144"/>
        <v>1300000</v>
      </c>
      <c r="P140" s="387">
        <f t="shared" si="144"/>
        <v>1300000</v>
      </c>
      <c r="Q140" s="409">
        <f>K140+M140+N140+O140+P140</f>
        <v>13000000</v>
      </c>
      <c r="R140" s="381"/>
      <c r="S140" s="383"/>
      <c r="T140" s="383"/>
      <c r="U140" s="383"/>
    </row>
    <row r="141" spans="1:21">
      <c r="A141" s="380" t="s">
        <v>1337</v>
      </c>
      <c r="B141" s="380"/>
      <c r="C141" s="380"/>
      <c r="D141" s="380"/>
      <c r="E141" s="380"/>
      <c r="F141" s="380"/>
      <c r="G141" s="380"/>
      <c r="H141" s="380"/>
      <c r="I141" s="380"/>
      <c r="J141" s="380"/>
      <c r="K141" s="381">
        <v>16412.5</v>
      </c>
      <c r="L141" s="382"/>
      <c r="M141" s="381"/>
      <c r="N141" s="381"/>
      <c r="O141" s="381"/>
      <c r="P141" s="381"/>
      <c r="Q141" s="381"/>
      <c r="R141" s="381">
        <f t="shared" si="107"/>
        <v>16.412500000000001</v>
      </c>
      <c r="S141" s="383"/>
      <c r="T141" s="383"/>
      <c r="U141" s="383"/>
    </row>
    <row r="142" spans="1:21">
      <c r="A142" s="380" t="s">
        <v>1338</v>
      </c>
      <c r="B142" s="380"/>
      <c r="C142" s="380"/>
      <c r="D142" s="380"/>
      <c r="E142" s="380"/>
      <c r="F142" s="380"/>
      <c r="G142" s="380"/>
      <c r="H142" s="380"/>
      <c r="I142" s="380"/>
      <c r="J142" s="380"/>
      <c r="K142" s="381">
        <v>1459</v>
      </c>
      <c r="L142" s="382"/>
      <c r="M142" s="381"/>
      <c r="N142" s="381"/>
      <c r="O142" s="381"/>
      <c r="P142" s="381"/>
      <c r="Q142" s="381"/>
      <c r="R142" s="381">
        <f t="shared" si="107"/>
        <v>1.4590000000000001</v>
      </c>
      <c r="S142" s="383"/>
      <c r="T142" s="383"/>
      <c r="U142" s="383"/>
    </row>
    <row r="143" spans="1:21">
      <c r="A143" s="380" t="s">
        <v>1339</v>
      </c>
      <c r="B143" s="380"/>
      <c r="C143" s="380"/>
      <c r="D143" s="380"/>
      <c r="E143" s="380"/>
      <c r="F143" s="380"/>
      <c r="G143" s="380"/>
      <c r="H143" s="380"/>
      <c r="I143" s="380"/>
      <c r="J143" s="380"/>
      <c r="K143" s="381">
        <v>14389119.35</v>
      </c>
      <c r="L143" s="382"/>
      <c r="M143" s="381"/>
      <c r="N143" s="381"/>
      <c r="O143" s="381"/>
      <c r="P143" s="381"/>
      <c r="Q143" s="381"/>
      <c r="R143" s="381">
        <f t="shared" si="107"/>
        <v>14389.119349999999</v>
      </c>
      <c r="S143" s="383"/>
      <c r="T143" s="383"/>
      <c r="U143" s="383"/>
    </row>
    <row r="144" spans="1:21">
      <c r="A144" s="380" t="s">
        <v>1340</v>
      </c>
      <c r="B144" s="380"/>
      <c r="C144" s="381">
        <f t="shared" ref="C144:J144" si="145">SUM(C145:C145)</f>
        <v>0</v>
      </c>
      <c r="D144" s="381">
        <f t="shared" si="145"/>
        <v>0</v>
      </c>
      <c r="E144" s="381">
        <f t="shared" si="145"/>
        <v>0</v>
      </c>
      <c r="F144" s="381">
        <f t="shared" si="145"/>
        <v>0</v>
      </c>
      <c r="G144" s="381">
        <f t="shared" si="145"/>
        <v>0</v>
      </c>
      <c r="H144" s="381">
        <f t="shared" si="145"/>
        <v>5000000</v>
      </c>
      <c r="I144" s="381">
        <f t="shared" si="145"/>
        <v>0</v>
      </c>
      <c r="J144" s="381">
        <f t="shared" si="145"/>
        <v>0</v>
      </c>
      <c r="K144" s="381">
        <v>5000000</v>
      </c>
      <c r="L144" s="382">
        <f>K144-C144-D144-E144-F144-G144-H144-I144-J144</f>
        <v>0</v>
      </c>
      <c r="M144" s="381">
        <f>SUM(M145:M145)</f>
        <v>0</v>
      </c>
      <c r="N144" s="381">
        <f>SUM(N145:N145)</f>
        <v>0</v>
      </c>
      <c r="O144" s="381">
        <f>SUM(O145:O145)</f>
        <v>0</v>
      </c>
      <c r="P144" s="381">
        <f>SUM(P145:P145)</f>
        <v>0</v>
      </c>
      <c r="Q144" s="408">
        <f>SUM(Q145:Q145)</f>
        <v>5000000</v>
      </c>
      <c r="R144" s="381">
        <f t="shared" si="107"/>
        <v>5000</v>
      </c>
      <c r="S144" s="383"/>
      <c r="T144" s="383"/>
      <c r="U144" s="383"/>
    </row>
    <row r="145" spans="1:21" ht="24" outlineLevel="1">
      <c r="A145" s="386" t="s">
        <v>1341</v>
      </c>
      <c r="B145" s="387">
        <v>5000000</v>
      </c>
      <c r="C145" s="380"/>
      <c r="D145" s="380"/>
      <c r="E145" s="380"/>
      <c r="F145" s="380"/>
      <c r="G145" s="380"/>
      <c r="H145" s="387">
        <v>5000000</v>
      </c>
      <c r="I145" s="380"/>
      <c r="J145" s="380"/>
      <c r="K145" s="387">
        <f>SUM(C145:J145)</f>
        <v>5000000</v>
      </c>
      <c r="L145" s="382"/>
      <c r="M145" s="381"/>
      <c r="N145" s="381"/>
      <c r="O145" s="381"/>
      <c r="P145" s="381"/>
      <c r="Q145" s="409">
        <f>K145+M145+N145+O145+P145</f>
        <v>5000000</v>
      </c>
      <c r="R145" s="381"/>
      <c r="S145" s="383"/>
      <c r="T145" s="383"/>
      <c r="U145" s="383"/>
    </row>
    <row r="146" spans="1:21">
      <c r="A146" s="380" t="s">
        <v>1342</v>
      </c>
      <c r="B146" s="380"/>
      <c r="C146" s="380"/>
      <c r="D146" s="380"/>
      <c r="E146" s="380"/>
      <c r="F146" s="380"/>
      <c r="G146" s="380"/>
      <c r="H146" s="380"/>
      <c r="I146" s="380"/>
      <c r="J146" s="380"/>
      <c r="K146" s="381">
        <v>77896.600000000006</v>
      </c>
      <c r="L146" s="382"/>
      <c r="M146" s="381"/>
      <c r="N146" s="381"/>
      <c r="O146" s="381"/>
      <c r="P146" s="381"/>
      <c r="Q146" s="381"/>
      <c r="R146" s="381">
        <f t="shared" si="107"/>
        <v>77.896600000000007</v>
      </c>
      <c r="S146" s="383"/>
      <c r="T146" s="383"/>
      <c r="U146" s="383"/>
    </row>
    <row r="147" spans="1:21">
      <c r="A147" s="380" t="s">
        <v>1343</v>
      </c>
      <c r="B147" s="380"/>
      <c r="C147" s="380"/>
      <c r="D147" s="380"/>
      <c r="E147" s="380"/>
      <c r="F147" s="380"/>
      <c r="G147" s="380"/>
      <c r="H147" s="380"/>
      <c r="I147" s="380"/>
      <c r="J147" s="380"/>
      <c r="K147" s="381">
        <v>6258425.1100000003</v>
      </c>
      <c r="L147" s="382"/>
      <c r="M147" s="381"/>
      <c r="N147" s="381"/>
      <c r="O147" s="381"/>
      <c r="P147" s="381"/>
      <c r="Q147" s="381"/>
      <c r="R147" s="381">
        <f t="shared" si="107"/>
        <v>6258.4251100000001</v>
      </c>
      <c r="S147" s="383"/>
      <c r="T147" s="383"/>
      <c r="U147" s="383"/>
    </row>
    <row r="148" spans="1:21">
      <c r="A148" s="380" t="s">
        <v>908</v>
      </c>
      <c r="B148" s="380"/>
      <c r="C148" s="380"/>
      <c r="D148" s="380"/>
      <c r="E148" s="380"/>
      <c r="F148" s="380"/>
      <c r="G148" s="380"/>
      <c r="H148" s="380"/>
      <c r="I148" s="380"/>
      <c r="J148" s="380"/>
      <c r="K148" s="381">
        <v>114897.87</v>
      </c>
      <c r="L148" s="382"/>
      <c r="M148" s="381"/>
      <c r="N148" s="381"/>
      <c r="O148" s="381"/>
      <c r="P148" s="381"/>
      <c r="Q148" s="381"/>
      <c r="R148" s="381">
        <f t="shared" si="107"/>
        <v>114.89787</v>
      </c>
      <c r="S148" s="383"/>
      <c r="T148" s="383"/>
      <c r="U148" s="383"/>
    </row>
    <row r="149" spans="1:21">
      <c r="A149" s="395" t="s">
        <v>1344</v>
      </c>
      <c r="B149" s="380"/>
      <c r="C149" s="381">
        <f>SUM(C150:C151)</f>
        <v>127317.64</v>
      </c>
      <c r="D149" s="381">
        <f t="shared" ref="D149:J149" si="146">SUM(D150:D151)</f>
        <v>127317.64</v>
      </c>
      <c r="E149" s="381">
        <f t="shared" si="146"/>
        <v>127317.64</v>
      </c>
      <c r="F149" s="381">
        <f t="shared" si="146"/>
        <v>127317.64</v>
      </c>
      <c r="G149" s="381">
        <f t="shared" si="146"/>
        <v>127317.64</v>
      </c>
      <c r="H149" s="381">
        <f t="shared" si="146"/>
        <v>127317.64</v>
      </c>
      <c r="I149" s="381">
        <f t="shared" si="146"/>
        <v>25158.560000000001</v>
      </c>
      <c r="J149" s="381">
        <f t="shared" si="146"/>
        <v>178304</v>
      </c>
      <c r="K149" s="381">
        <v>967368.4</v>
      </c>
      <c r="L149" s="382">
        <f>K149-C149-D149-E149-F149-G149-H149-I149-J149</f>
        <v>0</v>
      </c>
      <c r="M149" s="381">
        <f t="shared" ref="M149:Q149" si="147">SUM(M150:M151)</f>
        <v>181005.58</v>
      </c>
      <c r="N149" s="381">
        <f t="shared" si="147"/>
        <v>181005.58</v>
      </c>
      <c r="O149" s="381">
        <f t="shared" si="147"/>
        <v>181005.58</v>
      </c>
      <c r="P149" s="381">
        <f t="shared" si="147"/>
        <v>181005.58</v>
      </c>
      <c r="Q149" s="385">
        <f t="shared" si="147"/>
        <v>1691390.7199999997</v>
      </c>
      <c r="R149" s="381">
        <f t="shared" si="107"/>
        <v>967.36840000000007</v>
      </c>
      <c r="S149" s="383"/>
      <c r="T149" s="383"/>
      <c r="U149" s="383"/>
    </row>
    <row r="150" spans="1:21" outlineLevel="1">
      <c r="A150" s="386"/>
      <c r="B150" s="387"/>
      <c r="C150" s="387">
        <v>127317.64</v>
      </c>
      <c r="D150" s="387">
        <v>127317.64</v>
      </c>
      <c r="E150" s="387">
        <v>127317.64</v>
      </c>
      <c r="F150" s="387">
        <v>127317.64</v>
      </c>
      <c r="G150" s="387">
        <v>127317.64</v>
      </c>
      <c r="H150" s="387">
        <v>127317.64</v>
      </c>
      <c r="I150" s="387">
        <v>25158.560000000001</v>
      </c>
      <c r="J150" s="387"/>
      <c r="K150" s="387">
        <f t="shared" ref="K150:K151" si="148">SUM(C150:J150)</f>
        <v>789064.4</v>
      </c>
      <c r="L150" s="388">
        <f>K150-C150-D150-E150-F150-G150-H150-I150-J150</f>
        <v>-4.7293724492192268E-11</v>
      </c>
      <c r="M150" s="387"/>
      <c r="N150" s="387"/>
      <c r="O150" s="387"/>
      <c r="P150" s="387"/>
      <c r="Q150" s="387">
        <f t="shared" ref="Q150:Q151" si="149">K150+M150+N150+O150+P150</f>
        <v>789064.4</v>
      </c>
      <c r="R150" s="381"/>
      <c r="S150" s="383"/>
      <c r="T150" s="383"/>
      <c r="U150" s="383"/>
    </row>
    <row r="151" spans="1:21" outlineLevel="1">
      <c r="A151" s="386"/>
      <c r="B151" s="387"/>
      <c r="C151" s="387"/>
      <c r="D151" s="387"/>
      <c r="E151" s="387"/>
      <c r="F151" s="387"/>
      <c r="G151" s="387"/>
      <c r="H151" s="387"/>
      <c r="I151" s="387"/>
      <c r="J151" s="387">
        <v>178304</v>
      </c>
      <c r="K151" s="387">
        <f t="shared" si="148"/>
        <v>178304</v>
      </c>
      <c r="L151" s="388">
        <f t="shared" ref="L151" si="150">K151-C151-D151-E151-F151-G151-H151-I151-J151</f>
        <v>0</v>
      </c>
      <c r="M151" s="387">
        <v>181005.58</v>
      </c>
      <c r="N151" s="387">
        <f>M151</f>
        <v>181005.58</v>
      </c>
      <c r="O151" s="387">
        <f t="shared" ref="O151:P151" si="151">N151</f>
        <v>181005.58</v>
      </c>
      <c r="P151" s="387">
        <f t="shared" si="151"/>
        <v>181005.58</v>
      </c>
      <c r="Q151" s="387">
        <f t="shared" si="149"/>
        <v>902326.31999999983</v>
      </c>
      <c r="R151" s="381"/>
      <c r="S151" s="383"/>
      <c r="T151" s="383"/>
      <c r="U151" s="383"/>
    </row>
    <row r="152" spans="1:21">
      <c r="A152" s="380" t="s">
        <v>1345</v>
      </c>
      <c r="B152" s="380"/>
      <c r="C152" s="380"/>
      <c r="D152" s="380"/>
      <c r="E152" s="380"/>
      <c r="F152" s="380"/>
      <c r="G152" s="380"/>
      <c r="H152" s="380"/>
      <c r="I152" s="380"/>
      <c r="J152" s="380"/>
      <c r="K152" s="381">
        <v>11444852</v>
      </c>
      <c r="L152" s="382"/>
      <c r="M152" s="381"/>
      <c r="N152" s="381"/>
      <c r="O152" s="381"/>
      <c r="P152" s="381"/>
      <c r="Q152" s="381"/>
      <c r="R152" s="381">
        <f t="shared" si="107"/>
        <v>11444.852000000001</v>
      </c>
      <c r="S152" s="383"/>
      <c r="T152" s="383"/>
      <c r="U152" s="383"/>
    </row>
    <row r="153" spans="1:21">
      <c r="A153" s="380" t="s">
        <v>1346</v>
      </c>
      <c r="B153" s="380"/>
      <c r="C153" s="380"/>
      <c r="D153" s="380"/>
      <c r="E153" s="380"/>
      <c r="F153" s="380"/>
      <c r="G153" s="380"/>
      <c r="H153" s="380"/>
      <c r="I153" s="380"/>
      <c r="J153" s="380"/>
      <c r="K153" s="401">
        <v>4</v>
      </c>
      <c r="L153" s="382"/>
      <c r="M153" s="401"/>
      <c r="N153" s="401"/>
      <c r="O153" s="401"/>
      <c r="P153" s="401"/>
      <c r="Q153" s="401"/>
      <c r="R153" s="381">
        <f t="shared" si="107"/>
        <v>4.0000000000000001E-3</v>
      </c>
      <c r="S153" s="383"/>
      <c r="T153" s="383"/>
      <c r="U153" s="383"/>
    </row>
    <row r="154" spans="1:21">
      <c r="A154" s="380" t="s">
        <v>1347</v>
      </c>
      <c r="B154" s="380"/>
      <c r="C154" s="380"/>
      <c r="D154" s="380"/>
      <c r="E154" s="380"/>
      <c r="F154" s="380"/>
      <c r="G154" s="380"/>
      <c r="H154" s="380"/>
      <c r="I154" s="380"/>
      <c r="J154" s="380"/>
      <c r="K154" s="401">
        <v>72.16</v>
      </c>
      <c r="L154" s="382"/>
      <c r="M154" s="401"/>
      <c r="N154" s="401"/>
      <c r="O154" s="401"/>
      <c r="P154" s="401"/>
      <c r="Q154" s="401"/>
      <c r="R154" s="381">
        <f t="shared" si="107"/>
        <v>7.2160000000000002E-2</v>
      </c>
      <c r="S154" s="383"/>
      <c r="T154" s="383"/>
      <c r="U154" s="383"/>
    </row>
    <row r="155" spans="1:21">
      <c r="A155" s="380" t="s">
        <v>1348</v>
      </c>
      <c r="B155" s="380"/>
      <c r="C155" s="380"/>
      <c r="D155" s="380"/>
      <c r="E155" s="380"/>
      <c r="F155" s="380"/>
      <c r="G155" s="380"/>
      <c r="H155" s="380"/>
      <c r="I155" s="380"/>
      <c r="J155" s="380"/>
      <c r="K155" s="401">
        <v>75.739999999999995</v>
      </c>
      <c r="L155" s="382"/>
      <c r="M155" s="401"/>
      <c r="N155" s="401"/>
      <c r="O155" s="401"/>
      <c r="P155" s="401"/>
      <c r="Q155" s="401"/>
      <c r="R155" s="381">
        <f t="shared" si="107"/>
        <v>7.5740000000000002E-2</v>
      </c>
      <c r="S155" s="383"/>
      <c r="T155" s="383"/>
      <c r="U155" s="383"/>
    </row>
    <row r="156" spans="1:21" ht="24">
      <c r="A156" s="380" t="s">
        <v>1349</v>
      </c>
      <c r="B156" s="380"/>
      <c r="C156" s="381">
        <f>SUM(C157)</f>
        <v>0</v>
      </c>
      <c r="D156" s="381">
        <f t="shared" ref="D156:J156" si="152">SUM(D157)</f>
        <v>0</v>
      </c>
      <c r="E156" s="381">
        <f t="shared" si="152"/>
        <v>0</v>
      </c>
      <c r="F156" s="381">
        <f t="shared" si="152"/>
        <v>0</v>
      </c>
      <c r="G156" s="381">
        <f t="shared" si="152"/>
        <v>0</v>
      </c>
      <c r="H156" s="381">
        <f t="shared" si="152"/>
        <v>0</v>
      </c>
      <c r="I156" s="381">
        <f t="shared" si="152"/>
        <v>0</v>
      </c>
      <c r="J156" s="381">
        <f t="shared" si="152"/>
        <v>58650</v>
      </c>
      <c r="K156" s="381">
        <v>58650</v>
      </c>
      <c r="L156" s="382">
        <f>K156-C156-D156-E156-F156-G156-H156-I156-J156</f>
        <v>0</v>
      </c>
      <c r="M156" s="381">
        <f>SUM(M157)</f>
        <v>0</v>
      </c>
      <c r="N156" s="381">
        <f t="shared" ref="N156:P156" si="153">SUM(N157)</f>
        <v>0</v>
      </c>
      <c r="O156" s="381">
        <f t="shared" si="153"/>
        <v>0</v>
      </c>
      <c r="P156" s="381">
        <f t="shared" si="153"/>
        <v>0</v>
      </c>
      <c r="Q156" s="381">
        <f t="shared" ref="Q156" si="154">SUM(Q157:Q158)</f>
        <v>58650</v>
      </c>
      <c r="R156" s="381">
        <f t="shared" si="107"/>
        <v>58.65</v>
      </c>
      <c r="S156" s="383"/>
      <c r="T156" s="383"/>
      <c r="U156" s="383"/>
    </row>
    <row r="157" spans="1:21" ht="24" outlineLevel="1">
      <c r="A157" s="386" t="s">
        <v>1350</v>
      </c>
      <c r="B157" s="380"/>
      <c r="C157" s="380"/>
      <c r="D157" s="380"/>
      <c r="E157" s="380"/>
      <c r="F157" s="380"/>
      <c r="G157" s="380"/>
      <c r="H157" s="380"/>
      <c r="I157" s="380"/>
      <c r="J157" s="387">
        <v>58650</v>
      </c>
      <c r="K157" s="387">
        <f t="shared" ref="K157" si="155">SUM(C157:J157)</f>
        <v>58650</v>
      </c>
      <c r="L157" s="388">
        <f>K157-C157-D157-E157-F157-G157-H157-I157-J157</f>
        <v>0</v>
      </c>
      <c r="M157" s="381"/>
      <c r="N157" s="381"/>
      <c r="O157" s="381"/>
      <c r="P157" s="381"/>
      <c r="Q157" s="387">
        <f t="shared" ref="Q157" si="156">K157+M157+N157+O157+P157</f>
        <v>58650</v>
      </c>
      <c r="R157" s="381"/>
      <c r="S157" s="383"/>
      <c r="T157" s="383"/>
      <c r="U157" s="383"/>
    </row>
    <row r="158" spans="1:21">
      <c r="A158" s="380" t="s">
        <v>1351</v>
      </c>
      <c r="B158" s="380"/>
      <c r="C158" s="380"/>
      <c r="D158" s="380"/>
      <c r="E158" s="380"/>
      <c r="F158" s="380"/>
      <c r="G158" s="380"/>
      <c r="H158" s="380"/>
      <c r="I158" s="380"/>
      <c r="J158" s="380"/>
      <c r="K158" s="381">
        <v>1119700</v>
      </c>
      <c r="L158" s="382"/>
      <c r="M158" s="381"/>
      <c r="N158" s="381"/>
      <c r="O158" s="381"/>
      <c r="P158" s="381"/>
      <c r="Q158" s="381"/>
      <c r="R158" s="381">
        <f t="shared" si="107"/>
        <v>1119.7</v>
      </c>
      <c r="S158" s="383"/>
      <c r="T158" s="383"/>
      <c r="U158" s="383"/>
    </row>
    <row r="159" spans="1:21">
      <c r="A159" s="380" t="s">
        <v>1352</v>
      </c>
      <c r="B159" s="380"/>
      <c r="C159" s="380"/>
      <c r="D159" s="380"/>
      <c r="E159" s="380"/>
      <c r="F159" s="380"/>
      <c r="G159" s="380"/>
      <c r="H159" s="380"/>
      <c r="I159" s="380"/>
      <c r="J159" s="380"/>
      <c r="K159" s="381">
        <v>1510598.3</v>
      </c>
      <c r="L159" s="382"/>
      <c r="M159" s="381"/>
      <c r="N159" s="381"/>
      <c r="O159" s="381"/>
      <c r="P159" s="381"/>
      <c r="Q159" s="381"/>
      <c r="R159" s="381">
        <f t="shared" si="107"/>
        <v>1510.5983000000001</v>
      </c>
      <c r="S159" s="383"/>
      <c r="T159" s="383"/>
      <c r="U159" s="383"/>
    </row>
    <row r="160" spans="1:21" ht="24">
      <c r="A160" s="380" t="s">
        <v>1353</v>
      </c>
      <c r="B160" s="380"/>
      <c r="C160" s="381">
        <f>SUM(C161)</f>
        <v>2057576.26</v>
      </c>
      <c r="D160" s="381">
        <f t="shared" ref="D160:J160" si="157">SUM(D161)</f>
        <v>1033725.28</v>
      </c>
      <c r="E160" s="381">
        <f t="shared" si="157"/>
        <v>231840</v>
      </c>
      <c r="F160" s="381">
        <f t="shared" si="157"/>
        <v>0</v>
      </c>
      <c r="G160" s="381">
        <f t="shared" si="157"/>
        <v>0</v>
      </c>
      <c r="H160" s="381">
        <f t="shared" si="157"/>
        <v>0</v>
      </c>
      <c r="I160" s="381">
        <f t="shared" si="157"/>
        <v>0</v>
      </c>
      <c r="J160" s="381">
        <f t="shared" si="157"/>
        <v>0</v>
      </c>
      <c r="K160" s="381">
        <v>3323141.54</v>
      </c>
      <c r="L160" s="382">
        <f>K160-C160-D160-E160-F160-G160-H160-I160-J160</f>
        <v>0</v>
      </c>
      <c r="M160" s="381">
        <f>SUM(M161)</f>
        <v>0</v>
      </c>
      <c r="N160" s="381">
        <f t="shared" ref="N160:P160" si="158">SUM(N161)</f>
        <v>0</v>
      </c>
      <c r="O160" s="381">
        <f t="shared" si="158"/>
        <v>0</v>
      </c>
      <c r="P160" s="381">
        <f t="shared" si="158"/>
        <v>0</v>
      </c>
      <c r="Q160" s="385">
        <f t="shared" ref="Q160" si="159">SUM(Q161:Q162)</f>
        <v>3323141.54</v>
      </c>
      <c r="R160" s="381">
        <f t="shared" si="107"/>
        <v>3323.1415400000001</v>
      </c>
      <c r="S160" s="383"/>
      <c r="T160" s="383"/>
      <c r="U160" s="383"/>
    </row>
    <row r="161" spans="1:21" ht="24" outlineLevel="1">
      <c r="A161" s="386" t="s">
        <v>1354</v>
      </c>
      <c r="B161" s="380"/>
      <c r="C161" s="387">
        <f>1440824+283166.69+120239.08+213346.49</f>
        <v>2057576.26</v>
      </c>
      <c r="D161" s="387">
        <f>720417.6+313307.68</f>
        <v>1033725.28</v>
      </c>
      <c r="E161" s="387">
        <v>231840</v>
      </c>
      <c r="F161" s="387"/>
      <c r="G161" s="387"/>
      <c r="H161" s="387"/>
      <c r="I161" s="387"/>
      <c r="J161" s="387"/>
      <c r="K161" s="387">
        <f t="shared" ref="K161" si="160">SUM(C161:J161)</f>
        <v>3323141.54</v>
      </c>
      <c r="L161" s="388">
        <f>K161-C161-D161-E161-F161-G161-H161-I161-J161</f>
        <v>0</v>
      </c>
      <c r="M161" s="381"/>
      <c r="N161" s="381"/>
      <c r="O161" s="381"/>
      <c r="P161" s="381"/>
      <c r="Q161" s="387">
        <f t="shared" ref="Q161" si="161">K161+M161+N161+O161+P161</f>
        <v>3323141.54</v>
      </c>
      <c r="R161" s="381"/>
      <c r="S161" s="383"/>
      <c r="T161" s="383"/>
      <c r="U161" s="383"/>
    </row>
    <row r="162" spans="1:21">
      <c r="A162" s="380" t="s">
        <v>1355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1">
        <v>2464943</v>
      </c>
      <c r="L162" s="382"/>
      <c r="M162" s="381"/>
      <c r="N162" s="381"/>
      <c r="O162" s="381"/>
      <c r="P162" s="381"/>
      <c r="Q162" s="381"/>
      <c r="R162" s="381">
        <f t="shared" si="107"/>
        <v>2464.9430000000002</v>
      </c>
      <c r="S162" s="383"/>
      <c r="T162" s="383"/>
      <c r="U162" s="383"/>
    </row>
    <row r="163" spans="1:21">
      <c r="A163" s="380" t="s">
        <v>1356</v>
      </c>
      <c r="B163" s="380"/>
      <c r="C163" s="380"/>
      <c r="D163" s="380"/>
      <c r="E163" s="380"/>
      <c r="F163" s="380"/>
      <c r="G163" s="380"/>
      <c r="H163" s="380"/>
      <c r="I163" s="380"/>
      <c r="J163" s="380"/>
      <c r="K163" s="381">
        <v>2434862</v>
      </c>
      <c r="L163" s="382"/>
      <c r="M163" s="381"/>
      <c r="N163" s="381"/>
      <c r="O163" s="381"/>
      <c r="P163" s="381"/>
      <c r="Q163" s="381"/>
      <c r="R163" s="381">
        <f t="shared" si="107"/>
        <v>2434.8620000000001</v>
      </c>
      <c r="S163" s="383"/>
      <c r="T163" s="383"/>
      <c r="U163" s="383"/>
    </row>
    <row r="164" spans="1:21">
      <c r="A164" s="380" t="s">
        <v>1357</v>
      </c>
      <c r="B164" s="380"/>
      <c r="C164" s="380"/>
      <c r="D164" s="380"/>
      <c r="E164" s="380"/>
      <c r="F164" s="380"/>
      <c r="G164" s="380"/>
      <c r="H164" s="380"/>
      <c r="I164" s="380"/>
      <c r="J164" s="380"/>
      <c r="K164" s="385">
        <v>334119</v>
      </c>
      <c r="L164" s="382"/>
      <c r="M164" s="381"/>
      <c r="N164" s="381"/>
      <c r="O164" s="381"/>
      <c r="P164" s="381"/>
      <c r="Q164" s="381"/>
      <c r="R164" s="381">
        <f t="shared" si="107"/>
        <v>334.11900000000003</v>
      </c>
      <c r="S164" s="383"/>
      <c r="T164" s="383"/>
      <c r="U164" s="383"/>
    </row>
    <row r="165" spans="1:21">
      <c r="A165" s="380" t="s">
        <v>1358</v>
      </c>
      <c r="B165" s="380"/>
      <c r="C165" s="380"/>
      <c r="D165" s="380"/>
      <c r="E165" s="380"/>
      <c r="F165" s="380"/>
      <c r="G165" s="380"/>
      <c r="H165" s="380"/>
      <c r="I165" s="380"/>
      <c r="J165" s="380"/>
      <c r="K165" s="381">
        <v>1509560</v>
      </c>
      <c r="L165" s="382"/>
      <c r="M165" s="381"/>
      <c r="N165" s="381"/>
      <c r="O165" s="381"/>
      <c r="P165" s="381"/>
      <c r="Q165" s="381"/>
      <c r="R165" s="381">
        <f t="shared" si="107"/>
        <v>1509.56</v>
      </c>
      <c r="S165" s="383"/>
      <c r="T165" s="383"/>
      <c r="U165" s="383"/>
    </row>
    <row r="166" spans="1:21">
      <c r="A166" s="380" t="s">
        <v>1359</v>
      </c>
      <c r="B166" s="380"/>
      <c r="C166" s="380"/>
      <c r="D166" s="380"/>
      <c r="E166" s="380"/>
      <c r="F166" s="380"/>
      <c r="G166" s="380"/>
      <c r="H166" s="380"/>
      <c r="I166" s="380"/>
      <c r="J166" s="380"/>
      <c r="K166" s="381">
        <v>10327879</v>
      </c>
      <c r="L166" s="382"/>
      <c r="M166" s="381"/>
      <c r="N166" s="381"/>
      <c r="O166" s="381"/>
      <c r="P166" s="381"/>
      <c r="Q166" s="381"/>
      <c r="R166" s="381">
        <f t="shared" si="107"/>
        <v>10327.879000000001</v>
      </c>
      <c r="S166" s="383"/>
      <c r="T166" s="383"/>
      <c r="U166" s="383"/>
    </row>
    <row r="167" spans="1:21">
      <c r="A167" s="380" t="s">
        <v>1360</v>
      </c>
      <c r="B167" s="380"/>
      <c r="C167" s="380"/>
      <c r="D167" s="380"/>
      <c r="E167" s="380"/>
      <c r="F167" s="380"/>
      <c r="G167" s="380"/>
      <c r="H167" s="380"/>
      <c r="I167" s="380"/>
      <c r="J167" s="380"/>
      <c r="K167" s="381">
        <v>60613948</v>
      </c>
      <c r="L167" s="382"/>
      <c r="M167" s="381"/>
      <c r="N167" s="381"/>
      <c r="O167" s="381"/>
      <c r="P167" s="381"/>
      <c r="Q167" s="381"/>
      <c r="R167" s="381">
        <f t="shared" si="107"/>
        <v>60613.947999999997</v>
      </c>
      <c r="S167" s="383"/>
      <c r="T167" s="383"/>
      <c r="U167" s="383"/>
    </row>
    <row r="168" spans="1:21">
      <c r="A168" s="380" t="s">
        <v>1361</v>
      </c>
      <c r="B168" s="380"/>
      <c r="C168" s="380"/>
      <c r="D168" s="380"/>
      <c r="E168" s="380"/>
      <c r="F168" s="380"/>
      <c r="G168" s="380"/>
      <c r="H168" s="380"/>
      <c r="I168" s="380"/>
      <c r="J168" s="380"/>
      <c r="K168" s="381">
        <v>565800</v>
      </c>
      <c r="L168" s="382"/>
      <c r="M168" s="381"/>
      <c r="N168" s="381"/>
      <c r="O168" s="381"/>
      <c r="P168" s="381"/>
      <c r="Q168" s="381"/>
      <c r="R168" s="381">
        <f t="shared" si="107"/>
        <v>565.79999999999995</v>
      </c>
      <c r="S168" s="383"/>
      <c r="T168" s="383"/>
      <c r="U168" s="383"/>
    </row>
    <row r="169" spans="1:21">
      <c r="A169" s="380" t="s">
        <v>1362</v>
      </c>
      <c r="B169" s="380"/>
      <c r="C169" s="380"/>
      <c r="D169" s="380"/>
      <c r="E169" s="380"/>
      <c r="F169" s="380"/>
      <c r="G169" s="380"/>
      <c r="H169" s="380"/>
      <c r="I169" s="380"/>
      <c r="J169" s="380"/>
      <c r="K169" s="381">
        <v>832575.8</v>
      </c>
      <c r="L169" s="382"/>
      <c r="M169" s="381"/>
      <c r="N169" s="381"/>
      <c r="O169" s="381"/>
      <c r="P169" s="381"/>
      <c r="Q169" s="381"/>
      <c r="R169" s="381">
        <f t="shared" si="107"/>
        <v>832.57580000000007</v>
      </c>
      <c r="S169" s="383"/>
      <c r="T169" s="383"/>
      <c r="U169" s="383"/>
    </row>
    <row r="170" spans="1:21">
      <c r="A170" s="380" t="s">
        <v>214</v>
      </c>
      <c r="B170" s="380"/>
      <c r="C170" s="381">
        <f>SUM(C171)</f>
        <v>0</v>
      </c>
      <c r="D170" s="381">
        <f t="shared" ref="D170:J170" si="162">SUM(D171)</f>
        <v>0</v>
      </c>
      <c r="E170" s="381">
        <f t="shared" si="162"/>
        <v>0</v>
      </c>
      <c r="F170" s="381">
        <f t="shared" si="162"/>
        <v>0</v>
      </c>
      <c r="G170" s="381">
        <f t="shared" si="162"/>
        <v>0</v>
      </c>
      <c r="H170" s="381">
        <f t="shared" si="162"/>
        <v>0</v>
      </c>
      <c r="I170" s="381">
        <f t="shared" si="162"/>
        <v>227500</v>
      </c>
      <c r="J170" s="381">
        <f t="shared" si="162"/>
        <v>0</v>
      </c>
      <c r="K170" s="381">
        <v>227500</v>
      </c>
      <c r="L170" s="382">
        <f>K170-C170-D170-E170-F170-G170-H170-I170-J170</f>
        <v>0</v>
      </c>
      <c r="M170" s="381">
        <f>SUM(M171)</f>
        <v>227500</v>
      </c>
      <c r="N170" s="381">
        <f t="shared" ref="N170:P170" si="163">SUM(N171)</f>
        <v>0</v>
      </c>
      <c r="O170" s="381">
        <f t="shared" si="163"/>
        <v>0</v>
      </c>
      <c r="P170" s="381">
        <f t="shared" si="163"/>
        <v>454000</v>
      </c>
      <c r="Q170" s="408">
        <f t="shared" ref="Q170:Q173" si="164">SUM(Q171:Q172)</f>
        <v>909000</v>
      </c>
      <c r="R170" s="381">
        <f t="shared" si="107"/>
        <v>227.5</v>
      </c>
      <c r="S170" s="383"/>
      <c r="T170" s="383"/>
      <c r="U170" s="383"/>
    </row>
    <row r="171" spans="1:21" ht="36" outlineLevel="1">
      <c r="A171" s="386" t="s">
        <v>1363</v>
      </c>
      <c r="B171" s="387">
        <v>909000</v>
      </c>
      <c r="C171" s="387"/>
      <c r="D171" s="387"/>
      <c r="E171" s="387"/>
      <c r="F171" s="387"/>
      <c r="G171" s="387"/>
      <c r="H171" s="387"/>
      <c r="I171" s="387">
        <v>227500</v>
      </c>
      <c r="J171" s="387"/>
      <c r="K171" s="387">
        <f t="shared" ref="K171" si="165">SUM(C171:J171)</f>
        <v>227500</v>
      </c>
      <c r="L171" s="388">
        <f>K171-C171-D171-E171-F171-G171-H171-I171-J171</f>
        <v>0</v>
      </c>
      <c r="M171" s="387">
        <v>227500</v>
      </c>
      <c r="N171" s="387"/>
      <c r="O171" s="387"/>
      <c r="P171" s="387">
        <f>B171-K171-M171</f>
        <v>454000</v>
      </c>
      <c r="Q171" s="409">
        <f t="shared" ref="Q171:Q174" si="166">K171+M171+N171+O171+P171</f>
        <v>909000</v>
      </c>
      <c r="R171" s="386"/>
      <c r="S171" s="383"/>
      <c r="T171" s="383"/>
      <c r="U171" s="383"/>
    </row>
    <row r="172" spans="1:21">
      <c r="A172" s="380" t="s">
        <v>1364</v>
      </c>
      <c r="B172" s="380"/>
      <c r="C172" s="380"/>
      <c r="D172" s="380"/>
      <c r="E172" s="380"/>
      <c r="F172" s="380"/>
      <c r="G172" s="380"/>
      <c r="H172" s="380"/>
      <c r="I172" s="380"/>
      <c r="J172" s="380"/>
      <c r="K172" s="381">
        <v>128600</v>
      </c>
      <c r="L172" s="382"/>
      <c r="M172" s="381"/>
      <c r="N172" s="381"/>
      <c r="O172" s="381"/>
      <c r="P172" s="381"/>
      <c r="Q172" s="381"/>
      <c r="R172" s="381">
        <f t="shared" si="107"/>
        <v>128.6</v>
      </c>
      <c r="S172" s="383"/>
      <c r="T172" s="383"/>
      <c r="U172" s="383"/>
    </row>
    <row r="173" spans="1:21" ht="24">
      <c r="A173" s="380" t="s">
        <v>1365</v>
      </c>
      <c r="B173" s="380"/>
      <c r="C173" s="381">
        <f>SUM(C174)</f>
        <v>0</v>
      </c>
      <c r="D173" s="381">
        <f t="shared" ref="D173:J173" si="167">SUM(D174)</f>
        <v>0</v>
      </c>
      <c r="E173" s="381">
        <f t="shared" si="167"/>
        <v>0</v>
      </c>
      <c r="F173" s="381">
        <f t="shared" si="167"/>
        <v>0</v>
      </c>
      <c r="G173" s="381">
        <f t="shared" si="167"/>
        <v>0</v>
      </c>
      <c r="H173" s="381">
        <f t="shared" si="167"/>
        <v>0</v>
      </c>
      <c r="I173" s="381">
        <f t="shared" si="167"/>
        <v>0</v>
      </c>
      <c r="J173" s="381">
        <f t="shared" si="167"/>
        <v>401576.9</v>
      </c>
      <c r="K173" s="381">
        <v>401576.9</v>
      </c>
      <c r="L173" s="382">
        <f>K173-C173-D173-E173-F173-G173-H173-I173-J173</f>
        <v>0</v>
      </c>
      <c r="M173" s="381">
        <f>SUM(M174)</f>
        <v>829925.6</v>
      </c>
      <c r="N173" s="381">
        <f t="shared" ref="N173:P173" si="168">SUM(N174)</f>
        <v>829925.6</v>
      </c>
      <c r="O173" s="381">
        <f t="shared" si="168"/>
        <v>0</v>
      </c>
      <c r="P173" s="381">
        <f t="shared" si="168"/>
        <v>2918125.4999999991</v>
      </c>
      <c r="Q173" s="408">
        <f t="shared" si="164"/>
        <v>4979553.5999999996</v>
      </c>
      <c r="R173" s="381">
        <f t="shared" ref="R173:R175" si="169">K173/1000</f>
        <v>401.57690000000002</v>
      </c>
      <c r="S173" s="383"/>
      <c r="T173" s="383"/>
      <c r="U173" s="383"/>
    </row>
    <row r="174" spans="1:21" ht="36" outlineLevel="1">
      <c r="A174" s="386" t="s">
        <v>1366</v>
      </c>
      <c r="B174" s="387">
        <v>4979553.5999999996</v>
      </c>
      <c r="C174" s="380"/>
      <c r="D174" s="380"/>
      <c r="E174" s="380"/>
      <c r="F174" s="380"/>
      <c r="G174" s="380"/>
      <c r="H174" s="380"/>
      <c r="I174" s="380"/>
      <c r="J174" s="387">
        <v>401576.9</v>
      </c>
      <c r="K174" s="387">
        <f t="shared" ref="K174" si="170">SUM(C174:J174)</f>
        <v>401576.9</v>
      </c>
      <c r="L174" s="388">
        <f>K174-C174-D174-E174-F174-G174-H174-I174-J174</f>
        <v>0</v>
      </c>
      <c r="M174" s="402">
        <v>829925.6</v>
      </c>
      <c r="N174" s="388">
        <v>829925.6</v>
      </c>
      <c r="O174" s="388"/>
      <c r="P174" s="388">
        <f>B174-K174-M174-N174</f>
        <v>2918125.4999999991</v>
      </c>
      <c r="Q174" s="409">
        <f t="shared" si="166"/>
        <v>4979553.5999999996</v>
      </c>
      <c r="R174" s="381"/>
      <c r="S174" s="383"/>
      <c r="T174" s="383"/>
      <c r="U174" s="383"/>
    </row>
    <row r="175" spans="1:21">
      <c r="A175" s="380" t="s">
        <v>1367</v>
      </c>
      <c r="B175" s="380"/>
      <c r="C175" s="380"/>
      <c r="D175" s="380"/>
      <c r="E175" s="380"/>
      <c r="F175" s="380"/>
      <c r="G175" s="380"/>
      <c r="H175" s="380"/>
      <c r="I175" s="380"/>
      <c r="J175" s="380"/>
      <c r="K175" s="381">
        <v>11879545</v>
      </c>
      <c r="L175" s="382"/>
      <c r="M175" s="381"/>
      <c r="N175" s="381"/>
      <c r="O175" s="381"/>
      <c r="P175" s="381"/>
      <c r="Q175" s="381"/>
      <c r="R175" s="381">
        <f t="shared" si="169"/>
        <v>11879.545</v>
      </c>
      <c r="S175" s="383"/>
      <c r="T175" s="383"/>
      <c r="U175" s="383"/>
    </row>
    <row r="176" spans="1:21">
      <c r="A176" s="403" t="s">
        <v>1368</v>
      </c>
      <c r="B176" s="403"/>
      <c r="C176" s="403"/>
      <c r="D176" s="403"/>
      <c r="E176" s="403"/>
      <c r="F176" s="403"/>
      <c r="G176" s="403"/>
      <c r="H176" s="403"/>
      <c r="I176" s="403"/>
      <c r="J176" s="403"/>
      <c r="K176" s="404">
        <v>1310138062.6199999</v>
      </c>
      <c r="L176" s="405"/>
      <c r="M176" s="404"/>
      <c r="N176" s="404"/>
      <c r="O176" s="404"/>
      <c r="P176" s="404"/>
      <c r="Q176" s="404"/>
      <c r="R176" s="404"/>
      <c r="S176" s="404">
        <v>1310138062.6199999</v>
      </c>
      <c r="T176" s="406"/>
      <c r="U176" s="406"/>
    </row>
  </sheetData>
  <mergeCells count="1">
    <mergeCell ref="T6:U6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5"/>
  <cols>
    <col min="1" max="1" width="9.42578125" style="359" customWidth="1"/>
    <col min="2" max="2" width="51.7109375" style="359" customWidth="1"/>
    <col min="3" max="3" width="10.85546875" style="359" bestFit="1" customWidth="1"/>
    <col min="4" max="4" width="11" style="359" customWidth="1"/>
    <col min="5" max="5" width="15" style="359" customWidth="1"/>
    <col min="6" max="6" width="16" style="359" bestFit="1" customWidth="1"/>
    <col min="7" max="11" width="17.5703125" style="359" customWidth="1"/>
    <col min="12" max="12" width="15.85546875" style="293" customWidth="1"/>
    <col min="13" max="13" width="9.140625" style="293"/>
    <col min="14" max="15" width="9.140625" style="293" customWidth="1"/>
    <col min="16" max="16384" width="9.140625" style="293"/>
  </cols>
  <sheetData>
    <row r="3" spans="1:12" ht="30">
      <c r="A3" s="286"/>
      <c r="B3" s="287" t="s">
        <v>923</v>
      </c>
      <c r="C3" s="288" t="s">
        <v>924</v>
      </c>
      <c r="D3" s="288" t="s">
        <v>1079</v>
      </c>
      <c r="E3" s="289" t="s">
        <v>1149</v>
      </c>
      <c r="F3" s="289" t="s">
        <v>1150</v>
      </c>
      <c r="G3" s="290" t="s">
        <v>1075</v>
      </c>
      <c r="H3" s="291" t="s">
        <v>1076</v>
      </c>
      <c r="I3" s="291" t="s">
        <v>1151</v>
      </c>
      <c r="J3" s="291" t="s">
        <v>1152</v>
      </c>
      <c r="K3" s="291" t="s">
        <v>1153</v>
      </c>
      <c r="L3" s="292" t="s">
        <v>1154</v>
      </c>
    </row>
    <row r="4" spans="1:12" ht="16.5" customHeight="1">
      <c r="A4" s="544" t="s">
        <v>1155</v>
      </c>
      <c r="B4" s="544"/>
      <c r="C4" s="544"/>
      <c r="D4" s="544"/>
      <c r="E4" s="544"/>
      <c r="F4" s="544"/>
      <c r="G4" s="294"/>
      <c r="H4" s="295"/>
      <c r="I4" s="295"/>
      <c r="J4" s="295"/>
      <c r="K4" s="295"/>
    </row>
    <row r="5" spans="1:12" ht="16.5" customHeight="1">
      <c r="A5" s="545" t="s">
        <v>1072</v>
      </c>
      <c r="B5" s="545"/>
      <c r="C5" s="545"/>
      <c r="D5" s="545"/>
      <c r="E5" s="545"/>
      <c r="F5" s="545"/>
      <c r="G5" s="296"/>
      <c r="H5" s="297"/>
      <c r="I5" s="297"/>
      <c r="J5" s="297"/>
      <c r="K5" s="297"/>
    </row>
    <row r="6" spans="1:12" ht="16.5" customHeight="1">
      <c r="A6" s="298"/>
      <c r="B6" s="298"/>
      <c r="C6" s="298"/>
      <c r="D6" s="298"/>
      <c r="E6" s="298"/>
      <c r="F6" s="299">
        <f>SUM(F7:F16)</f>
        <v>60285046.079999998</v>
      </c>
      <c r="G6" s="300"/>
      <c r="H6" s="299"/>
      <c r="I6" s="299">
        <f>SUM(I7:I16)</f>
        <v>59311014.119999997</v>
      </c>
      <c r="J6" s="299">
        <f>SUM(J7:J16)</f>
        <v>2988752.1766666668</v>
      </c>
      <c r="K6" s="299"/>
    </row>
    <row r="7" spans="1:12" ht="25.5">
      <c r="A7" s="301">
        <v>1</v>
      </c>
      <c r="B7" s="302" t="s">
        <v>667</v>
      </c>
      <c r="C7" s="302" t="s">
        <v>1156</v>
      </c>
      <c r="D7" s="303">
        <v>60</v>
      </c>
      <c r="E7" s="303">
        <v>33488</v>
      </c>
      <c r="F7" s="304">
        <f>D7*E7</f>
        <v>2009280</v>
      </c>
      <c r="G7" s="305" t="s">
        <v>1157</v>
      </c>
      <c r="H7" s="306" t="s">
        <v>1158</v>
      </c>
      <c r="I7" s="361">
        <v>1441440</v>
      </c>
      <c r="J7" s="307"/>
      <c r="K7" s="307"/>
    </row>
    <row r="8" spans="1:12" ht="25.5">
      <c r="A8" s="301">
        <v>2</v>
      </c>
      <c r="B8" s="302" t="s">
        <v>689</v>
      </c>
      <c r="C8" s="302" t="s">
        <v>1156</v>
      </c>
      <c r="D8" s="303">
        <v>6</v>
      </c>
      <c r="E8" s="303">
        <v>447988.80000000005</v>
      </c>
      <c r="F8" s="304">
        <f t="shared" ref="F8:F9" si="0">D8*E8</f>
        <v>2687932.8000000003</v>
      </c>
      <c r="G8" s="305" t="s">
        <v>1159</v>
      </c>
      <c r="H8" s="306" t="s">
        <v>1160</v>
      </c>
      <c r="I8" s="361">
        <v>2605680</v>
      </c>
      <c r="J8" s="307"/>
      <c r="K8" s="307"/>
    </row>
    <row r="9" spans="1:12" ht="25.5">
      <c r="A9" s="301">
        <v>3</v>
      </c>
      <c r="B9" s="302" t="s">
        <v>716</v>
      </c>
      <c r="C9" s="302" t="s">
        <v>1156</v>
      </c>
      <c r="D9" s="303">
        <v>5</v>
      </c>
      <c r="E9" s="303">
        <v>62986.560000000005</v>
      </c>
      <c r="F9" s="304">
        <f t="shared" si="0"/>
        <v>314932.80000000005</v>
      </c>
      <c r="G9" s="305" t="s">
        <v>1161</v>
      </c>
      <c r="H9" s="306" t="s">
        <v>1162</v>
      </c>
      <c r="I9" s="361">
        <v>194445</v>
      </c>
      <c r="J9" s="307"/>
      <c r="K9" s="307"/>
    </row>
    <row r="10" spans="1:12">
      <c r="A10" s="308">
        <v>4</v>
      </c>
      <c r="B10" s="309" t="s">
        <v>1163</v>
      </c>
      <c r="C10" s="310"/>
      <c r="D10" s="311">
        <v>1</v>
      </c>
      <c r="E10" s="312">
        <v>97216.000000000015</v>
      </c>
      <c r="F10" s="312">
        <f>D10*E10</f>
        <v>97216.000000000015</v>
      </c>
      <c r="G10" s="313"/>
      <c r="H10" s="307"/>
      <c r="I10" s="363">
        <f>F10</f>
        <v>97216.000000000015</v>
      </c>
      <c r="J10" s="307">
        <f>I10/K10*3</f>
        <v>4860.8000000000011</v>
      </c>
      <c r="K10" s="307">
        <v>60</v>
      </c>
    </row>
    <row r="11" spans="1:12" ht="51">
      <c r="A11" s="308">
        <v>5</v>
      </c>
      <c r="B11" s="309" t="s">
        <v>691</v>
      </c>
      <c r="C11" s="310" t="s">
        <v>1156</v>
      </c>
      <c r="D11" s="311">
        <v>1</v>
      </c>
      <c r="E11" s="312">
        <v>18352521</v>
      </c>
      <c r="F11" s="312">
        <f>E11</f>
        <v>18352521</v>
      </c>
      <c r="G11" s="305" t="s">
        <v>1164</v>
      </c>
      <c r="H11" s="306" t="s">
        <v>1165</v>
      </c>
      <c r="I11" s="361">
        <v>18314626.399999999</v>
      </c>
      <c r="J11" s="307">
        <f>I11/K11*3</f>
        <v>1144664.1499999999</v>
      </c>
      <c r="K11" s="307">
        <v>48</v>
      </c>
    </row>
    <row r="12" spans="1:12" ht="25.5">
      <c r="A12" s="301">
        <v>6</v>
      </c>
      <c r="B12" s="302" t="s">
        <v>1166</v>
      </c>
      <c r="C12" s="302" t="s">
        <v>1156</v>
      </c>
      <c r="D12" s="303">
        <v>8</v>
      </c>
      <c r="E12" s="304">
        <v>15106.560000000001</v>
      </c>
      <c r="F12" s="304">
        <f>D12*E12</f>
        <v>120852.48000000001</v>
      </c>
      <c r="G12" s="305" t="s">
        <v>1167</v>
      </c>
      <c r="H12" s="306" t="s">
        <v>1168</v>
      </c>
      <c r="I12" s="361">
        <v>107520</v>
      </c>
      <c r="J12" s="307"/>
      <c r="K12" s="307"/>
    </row>
    <row r="13" spans="1:12" ht="25.5">
      <c r="A13" s="546" t="s">
        <v>1169</v>
      </c>
      <c r="B13" s="314" t="s">
        <v>1170</v>
      </c>
      <c r="C13" s="314" t="s">
        <v>1156</v>
      </c>
      <c r="D13" s="315">
        <v>7</v>
      </c>
      <c r="E13" s="316">
        <v>70385</v>
      </c>
      <c r="F13" s="316">
        <f>D13*E13</f>
        <v>492695</v>
      </c>
      <c r="G13" s="305" t="s">
        <v>1171</v>
      </c>
      <c r="H13" s="306" t="s">
        <v>1172</v>
      </c>
      <c r="I13" s="361">
        <v>351686.72</v>
      </c>
      <c r="J13" s="307">
        <f>I13/K13*3</f>
        <v>29307.226666666666</v>
      </c>
      <c r="K13" s="307">
        <v>36</v>
      </c>
    </row>
    <row r="14" spans="1:12">
      <c r="A14" s="547"/>
      <c r="B14" s="314" t="s">
        <v>1173</v>
      </c>
      <c r="C14" s="314" t="s">
        <v>1156</v>
      </c>
      <c r="D14" s="315">
        <v>20</v>
      </c>
      <c r="E14" s="316">
        <v>595800</v>
      </c>
      <c r="F14" s="316">
        <f>D14*E14</f>
        <v>11916000</v>
      </c>
      <c r="G14" s="313"/>
      <c r="H14" s="307"/>
      <c r="I14" s="363">
        <f>F14</f>
        <v>11916000</v>
      </c>
      <c r="J14" s="307">
        <f t="shared" ref="J14:J16" si="1">I14/K14*3</f>
        <v>595800</v>
      </c>
      <c r="K14" s="307">
        <v>60</v>
      </c>
    </row>
    <row r="15" spans="1:12" ht="16.5" customHeight="1">
      <c r="A15" s="547"/>
      <c r="B15" s="314" t="s">
        <v>1173</v>
      </c>
      <c r="C15" s="314" t="s">
        <v>1156</v>
      </c>
      <c r="D15" s="315">
        <v>36</v>
      </c>
      <c r="E15" s="316">
        <v>595800</v>
      </c>
      <c r="F15" s="316">
        <f>D15*E15</f>
        <v>21448800</v>
      </c>
      <c r="G15" s="313"/>
      <c r="H15" s="307"/>
      <c r="I15" s="363">
        <f>F15</f>
        <v>21448800</v>
      </c>
      <c r="J15" s="307">
        <f t="shared" si="1"/>
        <v>1072440</v>
      </c>
      <c r="K15" s="307">
        <v>60</v>
      </c>
    </row>
    <row r="16" spans="1:12" ht="25.5">
      <c r="A16" s="548"/>
      <c r="B16" s="317" t="s">
        <v>1174</v>
      </c>
      <c r="C16" s="314" t="s">
        <v>1156</v>
      </c>
      <c r="D16" s="315">
        <v>2</v>
      </c>
      <c r="E16" s="318">
        <v>1422408</v>
      </c>
      <c r="F16" s="316">
        <f>D16*E16</f>
        <v>2844816</v>
      </c>
      <c r="G16" s="319" t="s">
        <v>1175</v>
      </c>
      <c r="H16" s="320" t="s">
        <v>1176</v>
      </c>
      <c r="I16" s="362">
        <v>2833600</v>
      </c>
      <c r="J16" s="307">
        <f t="shared" si="1"/>
        <v>141680</v>
      </c>
      <c r="K16" s="307">
        <v>60</v>
      </c>
    </row>
    <row r="17" spans="1:12">
      <c r="A17" s="549" t="s">
        <v>1177</v>
      </c>
      <c r="B17" s="549"/>
      <c r="C17" s="549"/>
      <c r="D17" s="549"/>
      <c r="E17" s="549"/>
      <c r="F17" s="549"/>
      <c r="G17" s="321"/>
      <c r="H17" s="322"/>
      <c r="I17" s="322"/>
      <c r="J17" s="322"/>
      <c r="K17" s="322"/>
    </row>
    <row r="18" spans="1:12">
      <c r="A18" s="323"/>
      <c r="B18" s="323"/>
      <c r="C18" s="323"/>
      <c r="D18" s="323"/>
      <c r="E18" s="323"/>
      <c r="F18" s="324">
        <f>SUM(F19:F27)</f>
        <v>16122394.08</v>
      </c>
      <c r="G18" s="325"/>
      <c r="H18" s="324"/>
      <c r="I18" s="324">
        <f>SUM(I19:I27)</f>
        <v>680743</v>
      </c>
      <c r="J18" s="324">
        <f>SUM(J19:J27)</f>
        <v>34037.15</v>
      </c>
      <c r="K18" s="324"/>
    </row>
    <row r="19" spans="1:12" s="332" customFormat="1" ht="25.5">
      <c r="A19" s="326">
        <v>1</v>
      </c>
      <c r="B19" s="327" t="s">
        <v>772</v>
      </c>
      <c r="C19" s="328"/>
      <c r="D19" s="329">
        <v>1</v>
      </c>
      <c r="E19" s="330">
        <v>828788.8</v>
      </c>
      <c r="F19" s="331">
        <f>E19*D19</f>
        <v>828788.8</v>
      </c>
      <c r="G19" s="305" t="s">
        <v>1178</v>
      </c>
      <c r="H19" s="306" t="s">
        <v>1179</v>
      </c>
      <c r="I19" s="361">
        <v>549876</v>
      </c>
      <c r="J19" s="307">
        <f t="shared" ref="J19" si="2">I19/K19*3</f>
        <v>27493.800000000003</v>
      </c>
      <c r="K19" s="330">
        <v>60</v>
      </c>
    </row>
    <row r="20" spans="1:12" s="332" customFormat="1">
      <c r="A20" s="326">
        <v>2</v>
      </c>
      <c r="B20" s="327" t="s">
        <v>773</v>
      </c>
      <c r="C20" s="328"/>
      <c r="D20" s="329">
        <v>1</v>
      </c>
      <c r="E20" s="330">
        <v>55876.800000000003</v>
      </c>
      <c r="F20" s="331">
        <f t="shared" ref="F20:F24" si="3">E20*D20</f>
        <v>55876.800000000003</v>
      </c>
      <c r="G20" s="333"/>
      <c r="H20" s="330"/>
      <c r="I20" s="330"/>
      <c r="J20" s="330"/>
      <c r="K20" s="330"/>
      <c r="L20" s="293" t="s">
        <v>1145</v>
      </c>
    </row>
    <row r="21" spans="1:12" s="332" customFormat="1">
      <c r="A21" s="326">
        <v>3</v>
      </c>
      <c r="B21" s="327" t="s">
        <v>775</v>
      </c>
      <c r="C21" s="328"/>
      <c r="D21" s="329">
        <v>1</v>
      </c>
      <c r="E21" s="330">
        <v>43946.560000000005</v>
      </c>
      <c r="F21" s="331">
        <f t="shared" si="3"/>
        <v>43946.560000000005</v>
      </c>
      <c r="G21" s="333"/>
      <c r="H21" s="330"/>
      <c r="I21" s="330"/>
      <c r="J21" s="330"/>
      <c r="K21" s="330"/>
      <c r="L21" s="293" t="s">
        <v>1145</v>
      </c>
    </row>
    <row r="22" spans="1:12" s="332" customFormat="1">
      <c r="A22" s="326">
        <v>4</v>
      </c>
      <c r="B22" s="327" t="s">
        <v>776</v>
      </c>
      <c r="C22" s="328"/>
      <c r="D22" s="329">
        <v>1</v>
      </c>
      <c r="E22" s="330">
        <v>103023.20000000001</v>
      </c>
      <c r="F22" s="331">
        <f t="shared" si="3"/>
        <v>103023.20000000001</v>
      </c>
      <c r="G22" s="333"/>
      <c r="H22" s="330"/>
      <c r="I22" s="330"/>
      <c r="J22" s="330"/>
      <c r="K22" s="330"/>
      <c r="L22" s="293" t="s">
        <v>1145</v>
      </c>
    </row>
    <row r="23" spans="1:12" s="332" customFormat="1">
      <c r="A23" s="326">
        <v>5</v>
      </c>
      <c r="B23" s="327" t="s">
        <v>777</v>
      </c>
      <c r="C23" s="328"/>
      <c r="D23" s="329">
        <v>1</v>
      </c>
      <c r="E23" s="330">
        <v>84815.360000000015</v>
      </c>
      <c r="F23" s="331">
        <f t="shared" si="3"/>
        <v>84815.360000000015</v>
      </c>
      <c r="G23" s="333"/>
      <c r="H23" s="330"/>
      <c r="I23" s="330"/>
      <c r="J23" s="330"/>
      <c r="K23" s="330"/>
      <c r="L23" s="293" t="s">
        <v>1145</v>
      </c>
    </row>
    <row r="24" spans="1:12" s="332" customFormat="1">
      <c r="A24" s="326">
        <v>6</v>
      </c>
      <c r="B24" s="327" t="s">
        <v>778</v>
      </c>
      <c r="C24" s="328"/>
      <c r="D24" s="329">
        <v>1</v>
      </c>
      <c r="E24" s="330">
        <v>39085.760000000002</v>
      </c>
      <c r="F24" s="331">
        <f t="shared" si="3"/>
        <v>39085.760000000002</v>
      </c>
      <c r="G24" s="333"/>
      <c r="H24" s="330"/>
      <c r="I24" s="330"/>
      <c r="J24" s="330"/>
      <c r="K24" s="330"/>
      <c r="L24" s="293" t="s">
        <v>1145</v>
      </c>
    </row>
    <row r="25" spans="1:12" s="332" customFormat="1" ht="25.5">
      <c r="A25" s="326">
        <v>7</v>
      </c>
      <c r="B25" s="327" t="s">
        <v>855</v>
      </c>
      <c r="C25" s="328"/>
      <c r="D25" s="329">
        <v>1</v>
      </c>
      <c r="E25" s="330">
        <v>134388.80000000002</v>
      </c>
      <c r="F25" s="331">
        <f>E25*D25</f>
        <v>134388.80000000002</v>
      </c>
      <c r="G25" s="305" t="s">
        <v>1180</v>
      </c>
      <c r="H25" s="306" t="s">
        <v>1181</v>
      </c>
      <c r="I25" s="361">
        <v>98499</v>
      </c>
      <c r="J25" s="307">
        <f t="shared" ref="J25:J26" si="4">I25/K25*3</f>
        <v>4924.9500000000007</v>
      </c>
      <c r="K25" s="330">
        <v>60</v>
      </c>
    </row>
    <row r="26" spans="1:12" s="332" customFormat="1" ht="25.5">
      <c r="A26" s="326">
        <v>8</v>
      </c>
      <c r="B26" s="327" t="s">
        <v>780</v>
      </c>
      <c r="C26" s="328"/>
      <c r="D26" s="329">
        <v>1</v>
      </c>
      <c r="E26" s="330">
        <v>32468.800000000003</v>
      </c>
      <c r="F26" s="331">
        <f t="shared" ref="F26:F27" si="5">E26*D26</f>
        <v>32468.800000000003</v>
      </c>
      <c r="G26" s="319" t="s">
        <v>1175</v>
      </c>
      <c r="H26" s="320" t="s">
        <v>1182</v>
      </c>
      <c r="I26" s="362">
        <v>32368</v>
      </c>
      <c r="J26" s="307">
        <f t="shared" si="4"/>
        <v>1618.4</v>
      </c>
      <c r="K26" s="330">
        <v>60</v>
      </c>
    </row>
    <row r="27" spans="1:12" s="332" customFormat="1">
      <c r="A27" s="326">
        <v>9</v>
      </c>
      <c r="B27" s="327" t="s">
        <v>781</v>
      </c>
      <c r="C27" s="328"/>
      <c r="D27" s="329">
        <v>1</v>
      </c>
      <c r="E27" s="330">
        <v>14800000</v>
      </c>
      <c r="F27" s="331">
        <f t="shared" si="5"/>
        <v>14800000</v>
      </c>
      <c r="G27" s="333"/>
      <c r="H27" s="330"/>
      <c r="I27" s="330"/>
      <c r="J27" s="330"/>
      <c r="K27" s="330"/>
      <c r="L27" s="293" t="s">
        <v>1145</v>
      </c>
    </row>
    <row r="28" spans="1:12" s="341" customFormat="1">
      <c r="A28" s="334"/>
      <c r="B28" s="335" t="s">
        <v>1183</v>
      </c>
      <c r="C28" s="336"/>
      <c r="D28" s="337"/>
      <c r="E28" s="338"/>
      <c r="F28" s="339">
        <f>F6+F18</f>
        <v>76407440.159999996</v>
      </c>
      <c r="G28" s="340"/>
      <c r="H28" s="339"/>
      <c r="I28" s="339">
        <f>I6+I18</f>
        <v>59991757.119999997</v>
      </c>
      <c r="J28" s="339">
        <f>J6+J18</f>
        <v>3022789.3266666667</v>
      </c>
      <c r="K28" s="339"/>
    </row>
    <row r="29" spans="1:12">
      <c r="A29" s="550" t="s">
        <v>1184</v>
      </c>
      <c r="B29" s="550"/>
      <c r="C29" s="550"/>
      <c r="D29" s="550"/>
      <c r="E29" s="550"/>
      <c r="F29" s="550"/>
      <c r="G29" s="342"/>
      <c r="H29" s="343"/>
      <c r="I29" s="343"/>
      <c r="J29" s="343"/>
      <c r="K29" s="343"/>
    </row>
    <row r="30" spans="1:12" s="345" customFormat="1">
      <c r="A30" s="545" t="s">
        <v>1072</v>
      </c>
      <c r="B30" s="545"/>
      <c r="C30" s="545"/>
      <c r="D30" s="545"/>
      <c r="E30" s="545"/>
      <c r="F30" s="545"/>
      <c r="G30" s="344"/>
      <c r="H30" s="297"/>
      <c r="I30" s="297"/>
      <c r="J30" s="297"/>
      <c r="K30" s="297"/>
    </row>
    <row r="31" spans="1:12" s="345" customFormat="1">
      <c r="A31" s="298"/>
      <c r="B31" s="298"/>
      <c r="C31" s="298"/>
      <c r="D31" s="298"/>
      <c r="E31" s="298"/>
      <c r="F31" s="299">
        <f>SUM(F32:F34)</f>
        <v>32363120</v>
      </c>
      <c r="G31" s="300"/>
      <c r="H31" s="299"/>
      <c r="I31" s="299">
        <f>SUM(I32:I34)</f>
        <v>32274713</v>
      </c>
      <c r="J31" s="299">
        <f>SUM(J32:J34)</f>
        <v>380017.2</v>
      </c>
      <c r="K31" s="299"/>
    </row>
    <row r="32" spans="1:12" ht="25.5">
      <c r="A32" s="301">
        <v>1</v>
      </c>
      <c r="B32" s="302" t="s">
        <v>1185</v>
      </c>
      <c r="C32" s="302" t="s">
        <v>1156</v>
      </c>
      <c r="D32" s="303">
        <v>1</v>
      </c>
      <c r="E32" s="304">
        <v>22801032</v>
      </c>
      <c r="F32" s="304">
        <f t="shared" ref="F32:F34" si="6">D32*E32</f>
        <v>22801032</v>
      </c>
      <c r="G32" s="313"/>
      <c r="H32" s="307"/>
      <c r="I32" s="363">
        <f>F32</f>
        <v>22801032</v>
      </c>
      <c r="J32" s="307">
        <f>I32/K32*1</f>
        <v>380017.2</v>
      </c>
      <c r="K32" s="307">
        <v>60</v>
      </c>
    </row>
    <row r="33" spans="1:12" ht="25.5">
      <c r="A33" s="301">
        <v>2</v>
      </c>
      <c r="B33" s="302" t="s">
        <v>1186</v>
      </c>
      <c r="C33" s="302" t="s">
        <v>1156</v>
      </c>
      <c r="D33" s="303">
        <v>1</v>
      </c>
      <c r="E33" s="304">
        <v>6438088</v>
      </c>
      <c r="F33" s="304">
        <f t="shared" si="6"/>
        <v>6438088</v>
      </c>
      <c r="G33" s="305" t="s">
        <v>1187</v>
      </c>
      <c r="H33" s="306" t="s">
        <v>1188</v>
      </c>
      <c r="I33" s="361">
        <v>6371057</v>
      </c>
      <c r="J33" s="307"/>
      <c r="K33" s="307"/>
    </row>
    <row r="34" spans="1:12" ht="25.5">
      <c r="A34" s="301">
        <v>3</v>
      </c>
      <c r="B34" s="302" t="s">
        <v>1189</v>
      </c>
      <c r="C34" s="302" t="s">
        <v>1156</v>
      </c>
      <c r="D34" s="303">
        <v>1</v>
      </c>
      <c r="E34" s="304">
        <v>3124000</v>
      </c>
      <c r="F34" s="304">
        <f t="shared" si="6"/>
        <v>3124000</v>
      </c>
      <c r="G34" s="305" t="s">
        <v>1190</v>
      </c>
      <c r="H34" s="306" t="s">
        <v>1191</v>
      </c>
      <c r="I34" s="361">
        <v>3102624</v>
      </c>
      <c r="J34" s="307"/>
      <c r="K34" s="307"/>
    </row>
    <row r="35" spans="1:12">
      <c r="A35" s="543" t="s">
        <v>1177</v>
      </c>
      <c r="B35" s="543"/>
      <c r="C35" s="543"/>
      <c r="D35" s="543"/>
      <c r="E35" s="543"/>
      <c r="F35" s="543"/>
      <c r="G35" s="346"/>
      <c r="H35" s="347"/>
      <c r="I35" s="347"/>
      <c r="J35" s="347"/>
      <c r="K35" s="347"/>
    </row>
    <row r="36" spans="1:12" ht="16.5" customHeight="1">
      <c r="A36" s="298"/>
      <c r="B36" s="298"/>
      <c r="C36" s="298"/>
      <c r="D36" s="298"/>
      <c r="E36" s="298"/>
      <c r="F36" s="299">
        <f>SUM(F37:F39)</f>
        <v>249000000</v>
      </c>
      <c r="G36" s="300"/>
      <c r="H36" s="299"/>
      <c r="I36" s="299">
        <f>SUM(I37:I39)</f>
        <v>108217932</v>
      </c>
      <c r="J36" s="299">
        <f>SUM(J37:J39)</f>
        <v>1803632.2</v>
      </c>
      <c r="K36" s="299"/>
    </row>
    <row r="37" spans="1:12" ht="16.5" customHeight="1">
      <c r="A37" s="301">
        <v>1</v>
      </c>
      <c r="B37" s="348" t="s">
        <v>1192</v>
      </c>
      <c r="C37" s="328"/>
      <c r="D37" s="329">
        <v>1</v>
      </c>
      <c r="E37" s="331">
        <v>249000000</v>
      </c>
      <c r="F37" s="331"/>
      <c r="G37" s="333"/>
      <c r="H37" s="330"/>
      <c r="I37" s="330"/>
      <c r="J37" s="330"/>
      <c r="K37" s="330"/>
    </row>
    <row r="38" spans="1:12" ht="16.5" customHeight="1">
      <c r="A38" s="301"/>
      <c r="B38" s="348" t="s">
        <v>894</v>
      </c>
      <c r="C38" s="328"/>
      <c r="D38" s="329">
        <v>1</v>
      </c>
      <c r="E38" s="331">
        <v>108217932</v>
      </c>
      <c r="F38" s="331">
        <v>108217932</v>
      </c>
      <c r="G38" s="333"/>
      <c r="H38" s="330"/>
      <c r="I38" s="499">
        <f>F38</f>
        <v>108217932</v>
      </c>
      <c r="J38" s="307">
        <f>I38/K38*1</f>
        <v>1803632.2</v>
      </c>
      <c r="K38" s="330">
        <v>60</v>
      </c>
    </row>
    <row r="39" spans="1:12" ht="16.5" customHeight="1">
      <c r="A39" s="301"/>
      <c r="B39" s="348" t="s">
        <v>1193</v>
      </c>
      <c r="C39" s="328"/>
      <c r="D39" s="329">
        <v>1</v>
      </c>
      <c r="E39" s="331">
        <v>140782068</v>
      </c>
      <c r="F39" s="331">
        <f>E39</f>
        <v>140782068</v>
      </c>
      <c r="G39" s="333"/>
      <c r="H39" s="330"/>
      <c r="I39" s="330"/>
      <c r="J39" s="330"/>
      <c r="K39" s="330"/>
      <c r="L39" s="293" t="s">
        <v>1145</v>
      </c>
    </row>
    <row r="40" spans="1:12" s="355" customFormat="1">
      <c r="A40" s="349"/>
      <c r="B40" s="350" t="s">
        <v>1194</v>
      </c>
      <c r="C40" s="351"/>
      <c r="D40" s="352"/>
      <c r="E40" s="353"/>
      <c r="F40" s="353">
        <f>F31+F36</f>
        <v>281363120</v>
      </c>
      <c r="G40" s="354"/>
      <c r="H40" s="353"/>
      <c r="I40" s="353">
        <f>I31+I36</f>
        <v>140492645</v>
      </c>
      <c r="J40" s="353">
        <f>J31+J36</f>
        <v>2183649.4</v>
      </c>
      <c r="K40" s="353"/>
    </row>
    <row r="41" spans="1:12" s="355" customFormat="1">
      <c r="A41" s="356"/>
      <c r="B41" s="356" t="s">
        <v>1195</v>
      </c>
      <c r="C41" s="356"/>
      <c r="D41" s="356"/>
      <c r="E41" s="356"/>
      <c r="F41" s="357">
        <f>F28+F40</f>
        <v>357770560.15999997</v>
      </c>
      <c r="G41" s="358"/>
      <c r="H41" s="357"/>
      <c r="I41" s="357">
        <f>I28+I40</f>
        <v>200484402.12</v>
      </c>
      <c r="J41" s="357"/>
      <c r="K41" s="357"/>
    </row>
    <row r="43" spans="1:12" ht="16.5" customHeight="1"/>
    <row r="44" spans="1:12">
      <c r="F44" s="360"/>
    </row>
    <row r="45" spans="1:12">
      <c r="E45" s="360">
        <f>F37-E46</f>
        <v>-140782068</v>
      </c>
    </row>
    <row r="46" spans="1:12">
      <c r="E46" s="360">
        <f>125698275*1.12</f>
        <v>140782068</v>
      </c>
    </row>
    <row r="47" spans="1:12">
      <c r="F47" s="359" t="s">
        <v>1069</v>
      </c>
    </row>
    <row r="48" spans="1:12">
      <c r="F48" s="360" t="s">
        <v>1069</v>
      </c>
    </row>
    <row r="49" spans="2:3" ht="15.75" customHeight="1"/>
    <row r="50" spans="2:3" ht="15.75" customHeight="1">
      <c r="B50" s="359" t="s">
        <v>1196</v>
      </c>
      <c r="C50" s="359" t="s">
        <v>1197</v>
      </c>
    </row>
    <row r="51" spans="2:3">
      <c r="B51" s="359" t="s">
        <v>1198</v>
      </c>
      <c r="C51" s="360">
        <v>194445</v>
      </c>
    </row>
    <row r="52" spans="2:3">
      <c r="B52" s="359" t="s">
        <v>1199</v>
      </c>
      <c r="C52" s="360">
        <v>2605680</v>
      </c>
    </row>
    <row r="53" spans="2:3" ht="15.75" customHeight="1">
      <c r="B53" s="359" t="s">
        <v>1200</v>
      </c>
      <c r="C53" s="360">
        <v>351686.72000000003</v>
      </c>
    </row>
    <row r="54" spans="2:3">
      <c r="B54" s="359" t="s">
        <v>1201</v>
      </c>
      <c r="C54" s="360">
        <v>107520</v>
      </c>
    </row>
    <row r="55" spans="2:3" ht="15.75" customHeight="1">
      <c r="B55" s="359" t="s">
        <v>1202</v>
      </c>
      <c r="C55" s="360">
        <v>18314626.399999999</v>
      </c>
    </row>
    <row r="56" spans="2:3">
      <c r="B56" s="359" t="s">
        <v>1203</v>
      </c>
      <c r="C56" s="360">
        <v>98499</v>
      </c>
    </row>
    <row r="57" spans="2:3">
      <c r="B57" s="359" t="s">
        <v>1204</v>
      </c>
      <c r="C57" s="360">
        <v>549876</v>
      </c>
    </row>
    <row r="58" spans="2:3">
      <c r="B58" s="359" t="s">
        <v>1205</v>
      </c>
      <c r="C58" s="360">
        <v>1441440</v>
      </c>
    </row>
    <row r="59" spans="2:3">
      <c r="B59" s="359" t="s">
        <v>1206</v>
      </c>
      <c r="C59" s="360">
        <v>23663773.119999997</v>
      </c>
    </row>
  </sheetData>
  <mergeCells count="7">
    <mergeCell ref="A35:F35"/>
    <mergeCell ref="A4:F4"/>
    <mergeCell ref="A5:F5"/>
    <mergeCell ref="A13:A16"/>
    <mergeCell ref="A17:F17"/>
    <mergeCell ref="A29:F29"/>
    <mergeCell ref="A30:F3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"/>
  <sheetViews>
    <sheetView view="pageBreakPreview" zoomScale="6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R55" sqref="R55"/>
    </sheetView>
  </sheetViews>
  <sheetFormatPr defaultRowHeight="15"/>
  <cols>
    <col min="1" max="1" width="5.28515625" style="242" customWidth="1"/>
    <col min="2" max="2" width="57.7109375" style="242" customWidth="1"/>
    <col min="3" max="3" width="0" style="242" hidden="1" customWidth="1"/>
    <col min="4" max="4" width="7" style="242" hidden="1" customWidth="1"/>
    <col min="5" max="5" width="9" style="242" hidden="1" customWidth="1"/>
    <col min="6" max="6" width="12.5703125" style="242" hidden="1" customWidth="1"/>
    <col min="7" max="7" width="13.140625" style="252" hidden="1" customWidth="1"/>
    <col min="8" max="8" width="8" style="252" bestFit="1" customWidth="1"/>
    <col min="9" max="9" width="13.5703125" style="242" customWidth="1"/>
    <col min="10" max="10" width="12.7109375" style="242" bestFit="1" customWidth="1"/>
    <col min="11" max="11" width="13.28515625" style="252" bestFit="1" customWidth="1"/>
    <col min="12" max="12" width="14.28515625" style="242" hidden="1" customWidth="1"/>
    <col min="13" max="13" width="9.140625" style="242" hidden="1" customWidth="1"/>
    <col min="14" max="14" width="0" style="242" hidden="1" customWidth="1"/>
    <col min="15" max="15" width="11.7109375" style="242" hidden="1" customWidth="1"/>
    <col min="16" max="16" width="17" style="242" customWidth="1"/>
    <col min="17" max="17" width="17" style="242" hidden="1" customWidth="1"/>
    <col min="18" max="18" width="18.28515625" style="242" customWidth="1"/>
    <col min="19" max="19" width="18.5703125" style="242" customWidth="1"/>
    <col min="20" max="20" width="33.140625" style="242" customWidth="1"/>
    <col min="21" max="21" width="14.42578125" style="242" customWidth="1"/>
    <col min="22" max="16384" width="9.140625" style="242"/>
  </cols>
  <sheetData>
    <row r="2" spans="1:21" s="231" customFormat="1" ht="28.5" customHeight="1">
      <c r="A2" s="553" t="s">
        <v>9</v>
      </c>
      <c r="B2" s="553" t="s">
        <v>1071</v>
      </c>
      <c r="C2" s="555" t="s">
        <v>1072</v>
      </c>
      <c r="D2" s="555"/>
      <c r="E2" s="555"/>
      <c r="F2" s="555"/>
      <c r="G2" s="555"/>
      <c r="H2" s="555" t="s">
        <v>1073</v>
      </c>
      <c r="I2" s="555"/>
      <c r="J2" s="555"/>
      <c r="K2" s="555"/>
      <c r="L2" s="551" t="s">
        <v>1074</v>
      </c>
      <c r="N2" s="551" t="s">
        <v>1075</v>
      </c>
      <c r="O2" s="551" t="s">
        <v>1076</v>
      </c>
      <c r="P2" s="551" t="s">
        <v>1077</v>
      </c>
      <c r="Q2" s="551" t="s">
        <v>1074</v>
      </c>
      <c r="R2" s="551" t="s">
        <v>1078</v>
      </c>
      <c r="S2" s="551" t="s">
        <v>1074</v>
      </c>
      <c r="T2" s="551" t="s">
        <v>931</v>
      </c>
    </row>
    <row r="3" spans="1:21" s="234" customFormat="1" ht="28.5">
      <c r="A3" s="554"/>
      <c r="B3" s="554"/>
      <c r="C3" s="232" t="s">
        <v>1079</v>
      </c>
      <c r="D3" s="232" t="s">
        <v>1080</v>
      </c>
      <c r="E3" s="232" t="s">
        <v>1081</v>
      </c>
      <c r="F3" s="232" t="s">
        <v>1082</v>
      </c>
      <c r="G3" s="233" t="s">
        <v>1083</v>
      </c>
      <c r="H3" s="233" t="s">
        <v>1079</v>
      </c>
      <c r="I3" s="232" t="s">
        <v>1081</v>
      </c>
      <c r="J3" s="232" t="s">
        <v>1082</v>
      </c>
      <c r="K3" s="233" t="s">
        <v>1083</v>
      </c>
      <c r="L3" s="552"/>
      <c r="N3" s="552"/>
      <c r="O3" s="552"/>
      <c r="P3" s="552"/>
      <c r="Q3" s="552"/>
      <c r="R3" s="552"/>
      <c r="S3" s="552"/>
      <c r="T3" s="552"/>
    </row>
    <row r="4" spans="1:21">
      <c r="A4" s="235">
        <v>1</v>
      </c>
      <c r="B4" s="236" t="s">
        <v>1084</v>
      </c>
      <c r="C4" s="237">
        <v>1500</v>
      </c>
      <c r="D4" s="235"/>
      <c r="E4" s="238">
        <v>2700</v>
      </c>
      <c r="F4" s="239">
        <v>3024.0000000000005</v>
      </c>
      <c r="G4" s="240">
        <f>C4*F4</f>
        <v>4536000.0000000009</v>
      </c>
      <c r="H4" s="240">
        <v>1500</v>
      </c>
      <c r="I4" s="238">
        <v>2700</v>
      </c>
      <c r="J4" s="239">
        <v>3024.0000000000005</v>
      </c>
      <c r="K4" s="240">
        <v>4536000.0000000009</v>
      </c>
      <c r="L4" s="241">
        <f>K4-G4</f>
        <v>0</v>
      </c>
      <c r="M4" s="242">
        <f t="shared" ref="M4:M38" si="0">L4/1.12</f>
        <v>0</v>
      </c>
      <c r="N4" s="242" t="s">
        <v>1085</v>
      </c>
      <c r="O4" s="242" t="s">
        <v>1086</v>
      </c>
      <c r="P4" s="240">
        <v>4536000</v>
      </c>
      <c r="Q4" s="240">
        <f>K4-P4</f>
        <v>0</v>
      </c>
      <c r="R4" s="285">
        <v>2545200</v>
      </c>
      <c r="S4" s="240">
        <f>K4-R4</f>
        <v>1990800.0000000009</v>
      </c>
    </row>
    <row r="5" spans="1:21">
      <c r="A5" s="235">
        <v>34</v>
      </c>
      <c r="B5" s="243" t="s">
        <v>1087</v>
      </c>
      <c r="C5" s="237"/>
      <c r="D5" s="235"/>
      <c r="E5" s="238"/>
      <c r="F5" s="239"/>
      <c r="G5" s="240"/>
      <c r="H5" s="244">
        <v>15</v>
      </c>
      <c r="I5" s="245">
        <v>4500</v>
      </c>
      <c r="J5" s="246">
        <f>I5*1.12</f>
        <v>5040.0000000000009</v>
      </c>
      <c r="K5" s="244">
        <f>J5*H5</f>
        <v>75600.000000000015</v>
      </c>
      <c r="L5" s="247">
        <f>K5-G5</f>
        <v>75600.000000000015</v>
      </c>
      <c r="M5" s="242">
        <f t="shared" si="0"/>
        <v>67500</v>
      </c>
      <c r="N5" s="242" t="s">
        <v>1088</v>
      </c>
      <c r="O5" s="242" t="s">
        <v>1089</v>
      </c>
      <c r="P5" s="244">
        <f>J5*H5</f>
        <v>75600.000000000015</v>
      </c>
      <c r="Q5" s="240">
        <f>K5-P5</f>
        <v>0</v>
      </c>
      <c r="R5" s="285">
        <v>34500</v>
      </c>
      <c r="S5" s="240">
        <f>K5-R5</f>
        <v>41100.000000000015</v>
      </c>
    </row>
    <row r="6" spans="1:21" s="234" customFormat="1" ht="15.75" customHeight="1">
      <c r="A6" s="248"/>
      <c r="B6" s="249"/>
      <c r="C6" s="232"/>
      <c r="D6" s="232"/>
      <c r="E6" s="232"/>
      <c r="F6" s="232"/>
      <c r="G6" s="250">
        <f t="shared" ref="G6" si="1">SUM(G4)</f>
        <v>4536000.0000000009</v>
      </c>
      <c r="H6" s="250"/>
      <c r="I6" s="250"/>
      <c r="J6" s="250"/>
      <c r="K6" s="250">
        <f>SUM(K4:K5)</f>
        <v>4611600.0000000009</v>
      </c>
      <c r="L6" s="250">
        <f>SUM(L4:L5)</f>
        <v>75600.000000000015</v>
      </c>
      <c r="M6" s="242">
        <f t="shared" si="0"/>
        <v>67500</v>
      </c>
      <c r="N6" s="242"/>
      <c r="O6" s="242"/>
      <c r="P6" s="250">
        <f>SUM(P4:P5)</f>
        <v>4611600</v>
      </c>
      <c r="Q6" s="250">
        <f>SUM(Q4:Q5)</f>
        <v>0</v>
      </c>
      <c r="R6" s="250">
        <f>SUM(R4:R5)</f>
        <v>2579700</v>
      </c>
      <c r="S6" s="250">
        <f>SUM(S4:S5)</f>
        <v>2031900.0000000009</v>
      </c>
    </row>
    <row r="7" spans="1:21">
      <c r="A7" s="235">
        <v>1</v>
      </c>
      <c r="B7" s="236" t="s">
        <v>1090</v>
      </c>
      <c r="C7" s="251">
        <v>150</v>
      </c>
      <c r="D7" s="235"/>
      <c r="E7" s="238">
        <v>39</v>
      </c>
      <c r="F7" s="239">
        <v>43.680000000000007</v>
      </c>
      <c r="G7" s="240">
        <f>C7*F7</f>
        <v>6552.0000000000009</v>
      </c>
      <c r="H7" s="240">
        <v>150</v>
      </c>
      <c r="I7" s="238">
        <v>39</v>
      </c>
      <c r="J7" s="239">
        <f>I7*1.12</f>
        <v>43.680000000000007</v>
      </c>
      <c r="K7" s="240">
        <f>J7*H7</f>
        <v>6552.0000000000009</v>
      </c>
      <c r="L7" s="241">
        <f t="shared" ref="L7:L39" si="2">K7-G7</f>
        <v>0</v>
      </c>
      <c r="M7" s="242">
        <f t="shared" si="0"/>
        <v>0</v>
      </c>
      <c r="N7" s="242" t="s">
        <v>1091</v>
      </c>
      <c r="O7" s="242" t="s">
        <v>1092</v>
      </c>
      <c r="P7" s="240">
        <f>J7*H7</f>
        <v>6552.0000000000009</v>
      </c>
      <c r="Q7" s="240">
        <f t="shared" ref="Q7:Q55" si="3">K7-P7</f>
        <v>0</v>
      </c>
      <c r="R7" s="285">
        <v>3450</v>
      </c>
      <c r="S7" s="240">
        <f t="shared" ref="S7:S39" si="4">K7-R7</f>
        <v>3102.0000000000009</v>
      </c>
      <c r="U7" s="252">
        <f>P7-K7</f>
        <v>0</v>
      </c>
    </row>
    <row r="8" spans="1:21">
      <c r="A8" s="235">
        <v>2</v>
      </c>
      <c r="B8" s="236" t="s">
        <v>1093</v>
      </c>
      <c r="C8" s="251">
        <v>30</v>
      </c>
      <c r="D8" s="235"/>
      <c r="E8" s="238">
        <v>418</v>
      </c>
      <c r="F8" s="239">
        <v>468.16</v>
      </c>
      <c r="G8" s="240">
        <f t="shared" ref="G8:G34" si="5">C8*F8</f>
        <v>14044.800000000001</v>
      </c>
      <c r="H8" s="240">
        <v>30</v>
      </c>
      <c r="I8" s="238">
        <v>418</v>
      </c>
      <c r="J8" s="239">
        <f t="shared" ref="J8:J39" si="6">I8*1.12</f>
        <v>468.16</v>
      </c>
      <c r="K8" s="240">
        <f t="shared" ref="K8:K39" si="7">J8*H8</f>
        <v>14044.800000000001</v>
      </c>
      <c r="L8" s="241">
        <f t="shared" si="2"/>
        <v>0</v>
      </c>
      <c r="M8" s="242">
        <f t="shared" si="0"/>
        <v>0</v>
      </c>
      <c r="N8" s="242" t="s">
        <v>1091</v>
      </c>
      <c r="O8" s="242" t="s">
        <v>1092</v>
      </c>
      <c r="P8" s="240">
        <f t="shared" ref="P8:P44" si="8">J8*H8</f>
        <v>14044.800000000001</v>
      </c>
      <c r="Q8" s="240">
        <f t="shared" si="3"/>
        <v>0</v>
      </c>
      <c r="R8" s="285">
        <v>7890</v>
      </c>
      <c r="S8" s="240">
        <f t="shared" si="4"/>
        <v>6154.8000000000011</v>
      </c>
      <c r="U8" s="252">
        <f t="shared" ref="U8:U39" si="9">P8-K8</f>
        <v>0</v>
      </c>
    </row>
    <row r="9" spans="1:21">
      <c r="A9" s="235">
        <v>3</v>
      </c>
      <c r="B9" s="236" t="s">
        <v>548</v>
      </c>
      <c r="C9" s="251">
        <v>100</v>
      </c>
      <c r="D9" s="235"/>
      <c r="E9" s="238">
        <v>197</v>
      </c>
      <c r="F9" s="239">
        <v>220.64</v>
      </c>
      <c r="G9" s="240">
        <f t="shared" si="5"/>
        <v>22064</v>
      </c>
      <c r="H9" s="240">
        <v>100</v>
      </c>
      <c r="I9" s="238">
        <v>197</v>
      </c>
      <c r="J9" s="239">
        <f t="shared" si="6"/>
        <v>220.64000000000001</v>
      </c>
      <c r="K9" s="240">
        <f t="shared" si="7"/>
        <v>22064</v>
      </c>
      <c r="L9" s="241">
        <f t="shared" si="2"/>
        <v>0</v>
      </c>
      <c r="M9" s="242">
        <f t="shared" si="0"/>
        <v>0</v>
      </c>
      <c r="N9" s="242" t="s">
        <v>1091</v>
      </c>
      <c r="O9" s="242" t="s">
        <v>1092</v>
      </c>
      <c r="P9" s="240">
        <f t="shared" si="8"/>
        <v>22064</v>
      </c>
      <c r="Q9" s="240">
        <f t="shared" si="3"/>
        <v>0</v>
      </c>
      <c r="R9" s="285">
        <v>9300</v>
      </c>
      <c r="S9" s="240">
        <f t="shared" si="4"/>
        <v>12764</v>
      </c>
      <c r="U9" s="252">
        <f t="shared" si="9"/>
        <v>0</v>
      </c>
    </row>
    <row r="10" spans="1:21">
      <c r="A10" s="235">
        <v>4</v>
      </c>
      <c r="B10" s="236" t="s">
        <v>696</v>
      </c>
      <c r="C10" s="251">
        <v>50</v>
      </c>
      <c r="D10" s="235"/>
      <c r="E10" s="238">
        <v>3200</v>
      </c>
      <c r="F10" s="239">
        <v>3584.0000000000005</v>
      </c>
      <c r="G10" s="240">
        <f t="shared" si="5"/>
        <v>179200.00000000003</v>
      </c>
      <c r="H10" s="240">
        <v>50</v>
      </c>
      <c r="I10" s="238">
        <v>3200</v>
      </c>
      <c r="J10" s="239">
        <f t="shared" si="6"/>
        <v>3584.0000000000005</v>
      </c>
      <c r="K10" s="240">
        <f t="shared" si="7"/>
        <v>179200.00000000003</v>
      </c>
      <c r="L10" s="241">
        <f t="shared" si="2"/>
        <v>0</v>
      </c>
      <c r="M10" s="242">
        <f t="shared" si="0"/>
        <v>0</v>
      </c>
      <c r="N10" s="242" t="s">
        <v>1094</v>
      </c>
      <c r="O10" s="242" t="s">
        <v>1095</v>
      </c>
      <c r="P10" s="240">
        <f>J10*H10</f>
        <v>179200.00000000003</v>
      </c>
      <c r="Q10" s="240">
        <f t="shared" si="3"/>
        <v>0</v>
      </c>
      <c r="R10" s="285">
        <v>112050</v>
      </c>
      <c r="S10" s="240">
        <f t="shared" si="4"/>
        <v>67150.000000000029</v>
      </c>
      <c r="U10" s="252">
        <f t="shared" si="9"/>
        <v>0</v>
      </c>
    </row>
    <row r="11" spans="1:21">
      <c r="A11" s="235">
        <v>5</v>
      </c>
      <c r="B11" s="236" t="s">
        <v>1096</v>
      </c>
      <c r="C11" s="251">
        <v>30</v>
      </c>
      <c r="D11" s="235"/>
      <c r="E11" s="238">
        <v>261</v>
      </c>
      <c r="F11" s="239">
        <v>292.32000000000005</v>
      </c>
      <c r="G11" s="240">
        <f t="shared" si="5"/>
        <v>8769.6000000000022</v>
      </c>
      <c r="H11" s="240">
        <v>30</v>
      </c>
      <c r="I11" s="238">
        <v>261</v>
      </c>
      <c r="J11" s="239">
        <f t="shared" si="6"/>
        <v>292.32000000000005</v>
      </c>
      <c r="K11" s="240">
        <f t="shared" si="7"/>
        <v>8769.6000000000022</v>
      </c>
      <c r="L11" s="241">
        <f t="shared" si="2"/>
        <v>0</v>
      </c>
      <c r="M11" s="242">
        <f t="shared" si="0"/>
        <v>0</v>
      </c>
      <c r="N11" s="242" t="s">
        <v>1091</v>
      </c>
      <c r="O11" s="242" t="s">
        <v>1092</v>
      </c>
      <c r="P11" s="240">
        <f t="shared" si="8"/>
        <v>8769.6000000000022</v>
      </c>
      <c r="Q11" s="240">
        <f t="shared" si="3"/>
        <v>0</v>
      </c>
      <c r="R11" s="285">
        <v>4890</v>
      </c>
      <c r="S11" s="240">
        <f t="shared" si="4"/>
        <v>3879.6000000000022</v>
      </c>
      <c r="U11" s="252">
        <f t="shared" si="9"/>
        <v>0</v>
      </c>
    </row>
    <row r="12" spans="1:21">
      <c r="A12" s="235">
        <v>6</v>
      </c>
      <c r="B12" s="253" t="s">
        <v>529</v>
      </c>
      <c r="C12" s="237">
        <v>80</v>
      </c>
      <c r="D12" s="235"/>
      <c r="E12" s="254">
        <v>392</v>
      </c>
      <c r="F12" s="239">
        <v>439.04</v>
      </c>
      <c r="G12" s="240">
        <v>35123.200000000004</v>
      </c>
      <c r="H12" s="240">
        <v>80</v>
      </c>
      <c r="I12" s="254">
        <v>392</v>
      </c>
      <c r="J12" s="239">
        <f t="shared" si="6"/>
        <v>439.04</v>
      </c>
      <c r="K12" s="240">
        <f t="shared" si="7"/>
        <v>35123.200000000004</v>
      </c>
      <c r="L12" s="241">
        <f t="shared" si="2"/>
        <v>0</v>
      </c>
      <c r="M12" s="242">
        <f t="shared" si="0"/>
        <v>0</v>
      </c>
      <c r="N12" s="242" t="s">
        <v>1091</v>
      </c>
      <c r="O12" s="242" t="s">
        <v>1092</v>
      </c>
      <c r="P12" s="240">
        <f t="shared" si="8"/>
        <v>35123.200000000004</v>
      </c>
      <c r="Q12" s="240">
        <f t="shared" si="3"/>
        <v>0</v>
      </c>
      <c r="R12" s="285">
        <v>19440</v>
      </c>
      <c r="S12" s="240">
        <f t="shared" si="4"/>
        <v>15683.200000000004</v>
      </c>
      <c r="U12" s="252">
        <f t="shared" si="9"/>
        <v>0</v>
      </c>
    </row>
    <row r="13" spans="1:21">
      <c r="A13" s="235">
        <v>7</v>
      </c>
      <c r="B13" s="236" t="s">
        <v>532</v>
      </c>
      <c r="C13" s="251">
        <v>50</v>
      </c>
      <c r="D13" s="235"/>
      <c r="E13" s="238">
        <v>110</v>
      </c>
      <c r="F13" s="239">
        <v>123.20000000000002</v>
      </c>
      <c r="G13" s="240">
        <f t="shared" si="5"/>
        <v>6160.0000000000009</v>
      </c>
      <c r="H13" s="240">
        <v>50</v>
      </c>
      <c r="I13" s="238">
        <v>110</v>
      </c>
      <c r="J13" s="239">
        <f t="shared" si="6"/>
        <v>123.20000000000002</v>
      </c>
      <c r="K13" s="240">
        <f t="shared" si="7"/>
        <v>6160.0000000000009</v>
      </c>
      <c r="L13" s="241">
        <f t="shared" si="2"/>
        <v>0</v>
      </c>
      <c r="M13" s="242">
        <f t="shared" si="0"/>
        <v>0</v>
      </c>
      <c r="N13" s="242" t="s">
        <v>1091</v>
      </c>
      <c r="O13" s="242" t="s">
        <v>1092</v>
      </c>
      <c r="P13" s="240">
        <f t="shared" si="8"/>
        <v>6160.0000000000009</v>
      </c>
      <c r="Q13" s="240">
        <f t="shared" si="3"/>
        <v>0</v>
      </c>
      <c r="R13" s="285">
        <v>3150</v>
      </c>
      <c r="S13" s="240">
        <f t="shared" si="4"/>
        <v>3010.0000000000009</v>
      </c>
      <c r="U13" s="252">
        <f t="shared" si="9"/>
        <v>0</v>
      </c>
    </row>
    <row r="14" spans="1:21">
      <c r="A14" s="235">
        <v>8</v>
      </c>
      <c r="B14" s="236" t="s">
        <v>537</v>
      </c>
      <c r="C14" s="251">
        <v>10</v>
      </c>
      <c r="D14" s="235"/>
      <c r="E14" s="238">
        <v>350</v>
      </c>
      <c r="F14" s="239">
        <v>392.00000000000006</v>
      </c>
      <c r="G14" s="240">
        <f t="shared" si="5"/>
        <v>3920.0000000000005</v>
      </c>
      <c r="H14" s="240">
        <v>10</v>
      </c>
      <c r="I14" s="238">
        <v>350</v>
      </c>
      <c r="J14" s="239">
        <f t="shared" si="6"/>
        <v>392.00000000000006</v>
      </c>
      <c r="K14" s="240">
        <f t="shared" si="7"/>
        <v>3920.0000000000005</v>
      </c>
      <c r="L14" s="241">
        <f t="shared" si="2"/>
        <v>0</v>
      </c>
      <c r="M14" s="242">
        <f t="shared" si="0"/>
        <v>0</v>
      </c>
      <c r="N14" s="242" t="s">
        <v>1091</v>
      </c>
      <c r="O14" s="242" t="s">
        <v>1092</v>
      </c>
      <c r="P14" s="240">
        <f t="shared" si="8"/>
        <v>3920.0000000000005</v>
      </c>
      <c r="Q14" s="240">
        <f t="shared" si="3"/>
        <v>0</v>
      </c>
      <c r="R14" s="285">
        <v>2330</v>
      </c>
      <c r="S14" s="240">
        <f t="shared" si="4"/>
        <v>1590.0000000000005</v>
      </c>
      <c r="U14" s="252">
        <f t="shared" si="9"/>
        <v>0</v>
      </c>
    </row>
    <row r="15" spans="1:21">
      <c r="A15" s="235">
        <v>9</v>
      </c>
      <c r="B15" s="236" t="s">
        <v>1097</v>
      </c>
      <c r="C15" s="251">
        <v>30</v>
      </c>
      <c r="D15" s="235"/>
      <c r="E15" s="238">
        <v>60</v>
      </c>
      <c r="F15" s="239">
        <v>67.2</v>
      </c>
      <c r="G15" s="240">
        <f t="shared" si="5"/>
        <v>2016</v>
      </c>
      <c r="H15" s="240">
        <v>30</v>
      </c>
      <c r="I15" s="238">
        <v>60</v>
      </c>
      <c r="J15" s="239">
        <f t="shared" si="6"/>
        <v>67.2</v>
      </c>
      <c r="K15" s="240">
        <f t="shared" si="7"/>
        <v>2016</v>
      </c>
      <c r="L15" s="241">
        <f t="shared" si="2"/>
        <v>0</v>
      </c>
      <c r="M15" s="242">
        <f t="shared" si="0"/>
        <v>0</v>
      </c>
      <c r="N15" s="242" t="s">
        <v>1091</v>
      </c>
      <c r="O15" s="242" t="s">
        <v>1092</v>
      </c>
      <c r="P15" s="240">
        <f t="shared" si="8"/>
        <v>2016</v>
      </c>
      <c r="Q15" s="240">
        <f t="shared" si="3"/>
        <v>0</v>
      </c>
      <c r="R15" s="285">
        <v>1800</v>
      </c>
      <c r="S15" s="240">
        <f t="shared" si="4"/>
        <v>216</v>
      </c>
      <c r="U15" s="252">
        <f t="shared" si="9"/>
        <v>0</v>
      </c>
    </row>
    <row r="16" spans="1:21">
      <c r="A16" s="235">
        <v>10</v>
      </c>
      <c r="B16" s="236" t="s">
        <v>546</v>
      </c>
      <c r="C16" s="251">
        <v>200</v>
      </c>
      <c r="D16" s="235"/>
      <c r="E16" s="238">
        <v>145</v>
      </c>
      <c r="F16" s="239">
        <v>162.4</v>
      </c>
      <c r="G16" s="240">
        <f t="shared" si="5"/>
        <v>32480</v>
      </c>
      <c r="H16" s="240">
        <v>200</v>
      </c>
      <c r="I16" s="238">
        <v>145</v>
      </c>
      <c r="J16" s="239">
        <f t="shared" si="6"/>
        <v>162.4</v>
      </c>
      <c r="K16" s="240">
        <f t="shared" si="7"/>
        <v>32480</v>
      </c>
      <c r="L16" s="241">
        <f t="shared" si="2"/>
        <v>0</v>
      </c>
      <c r="M16" s="242">
        <f t="shared" si="0"/>
        <v>0</v>
      </c>
      <c r="N16" s="242" t="s">
        <v>1091</v>
      </c>
      <c r="O16" s="242" t="s">
        <v>1092</v>
      </c>
      <c r="P16" s="240">
        <f t="shared" si="8"/>
        <v>32480</v>
      </c>
      <c r="Q16" s="240">
        <f t="shared" si="3"/>
        <v>0</v>
      </c>
      <c r="R16" s="285">
        <v>18600</v>
      </c>
      <c r="S16" s="240">
        <f t="shared" si="4"/>
        <v>13880</v>
      </c>
      <c r="U16" s="252">
        <f t="shared" si="9"/>
        <v>0</v>
      </c>
    </row>
    <row r="17" spans="1:21">
      <c r="A17" s="235">
        <v>11</v>
      </c>
      <c r="B17" s="236" t="s">
        <v>558</v>
      </c>
      <c r="C17" s="251">
        <v>20</v>
      </c>
      <c r="D17" s="235"/>
      <c r="E17" s="238">
        <v>270</v>
      </c>
      <c r="F17" s="239">
        <v>302.40000000000003</v>
      </c>
      <c r="G17" s="240">
        <f t="shared" si="5"/>
        <v>6048.0000000000009</v>
      </c>
      <c r="H17" s="240">
        <v>20</v>
      </c>
      <c r="I17" s="238">
        <v>270</v>
      </c>
      <c r="J17" s="239">
        <f t="shared" si="6"/>
        <v>302.40000000000003</v>
      </c>
      <c r="K17" s="240">
        <f t="shared" si="7"/>
        <v>6048.0000000000009</v>
      </c>
      <c r="L17" s="241">
        <f t="shared" si="2"/>
        <v>0</v>
      </c>
      <c r="M17" s="242">
        <f t="shared" si="0"/>
        <v>0</v>
      </c>
      <c r="N17" s="242" t="s">
        <v>1091</v>
      </c>
      <c r="O17" s="242" t="s">
        <v>1092</v>
      </c>
      <c r="P17" s="240">
        <f t="shared" si="8"/>
        <v>6048.0000000000009</v>
      </c>
      <c r="Q17" s="240">
        <f t="shared" si="3"/>
        <v>0</v>
      </c>
      <c r="R17" s="285">
        <v>2660</v>
      </c>
      <c r="S17" s="240">
        <f t="shared" si="4"/>
        <v>3388.0000000000009</v>
      </c>
      <c r="U17" s="252">
        <f t="shared" si="9"/>
        <v>0</v>
      </c>
    </row>
    <row r="18" spans="1:21">
      <c r="A18" s="235">
        <v>12</v>
      </c>
      <c r="B18" s="236" t="s">
        <v>554</v>
      </c>
      <c r="C18" s="251">
        <v>30</v>
      </c>
      <c r="D18" s="235"/>
      <c r="E18" s="238">
        <v>710</v>
      </c>
      <c r="F18" s="239">
        <v>795.2</v>
      </c>
      <c r="G18" s="240">
        <f t="shared" si="5"/>
        <v>23856</v>
      </c>
      <c r="H18" s="240">
        <v>30</v>
      </c>
      <c r="I18" s="238">
        <v>710</v>
      </c>
      <c r="J18" s="239">
        <f t="shared" si="6"/>
        <v>795.2</v>
      </c>
      <c r="K18" s="240">
        <f t="shared" si="7"/>
        <v>23856</v>
      </c>
      <c r="L18" s="241">
        <f t="shared" si="2"/>
        <v>0</v>
      </c>
      <c r="M18" s="242">
        <f t="shared" si="0"/>
        <v>0</v>
      </c>
      <c r="N18" s="242" t="s">
        <v>1091</v>
      </c>
      <c r="O18" s="242" t="s">
        <v>1092</v>
      </c>
      <c r="P18" s="240">
        <f t="shared" si="8"/>
        <v>23856</v>
      </c>
      <c r="Q18" s="240">
        <f t="shared" si="3"/>
        <v>0</v>
      </c>
      <c r="R18" s="285">
        <v>13320</v>
      </c>
      <c r="S18" s="240">
        <f t="shared" si="4"/>
        <v>10536</v>
      </c>
      <c r="U18" s="252">
        <f t="shared" si="9"/>
        <v>0</v>
      </c>
    </row>
    <row r="19" spans="1:21">
      <c r="A19" s="235">
        <v>13</v>
      </c>
      <c r="B19" s="236" t="s">
        <v>697</v>
      </c>
      <c r="C19" s="251">
        <v>50</v>
      </c>
      <c r="D19" s="235"/>
      <c r="E19" s="238">
        <v>550</v>
      </c>
      <c r="F19" s="239">
        <v>616.00000000000011</v>
      </c>
      <c r="G19" s="240">
        <f t="shared" si="5"/>
        <v>30800.000000000007</v>
      </c>
      <c r="H19" s="240">
        <v>50</v>
      </c>
      <c r="I19" s="238">
        <v>550</v>
      </c>
      <c r="J19" s="239">
        <f t="shared" si="6"/>
        <v>616.00000000000011</v>
      </c>
      <c r="K19" s="240">
        <f t="shared" si="7"/>
        <v>30800.000000000007</v>
      </c>
      <c r="L19" s="241">
        <f t="shared" si="2"/>
        <v>0</v>
      </c>
      <c r="M19" s="242">
        <f>K19/1.12</f>
        <v>27500.000000000004</v>
      </c>
      <c r="N19" s="242" t="s">
        <v>1088</v>
      </c>
      <c r="O19" s="242" t="s">
        <v>1089</v>
      </c>
      <c r="P19" s="240">
        <f t="shared" si="8"/>
        <v>30800.000000000007</v>
      </c>
      <c r="Q19" s="240">
        <f t="shared" si="3"/>
        <v>0</v>
      </c>
      <c r="R19" s="285">
        <v>25000</v>
      </c>
      <c r="S19" s="240">
        <f t="shared" si="4"/>
        <v>5800.0000000000073</v>
      </c>
      <c r="U19" s="252">
        <f t="shared" si="9"/>
        <v>0</v>
      </c>
    </row>
    <row r="20" spans="1:21">
      <c r="A20" s="235">
        <v>14</v>
      </c>
      <c r="B20" s="236" t="s">
        <v>561</v>
      </c>
      <c r="C20" s="251">
        <v>30</v>
      </c>
      <c r="D20" s="235"/>
      <c r="E20" s="238">
        <v>203</v>
      </c>
      <c r="F20" s="239">
        <v>227.36</v>
      </c>
      <c r="G20" s="240">
        <f t="shared" si="5"/>
        <v>6820.8</v>
      </c>
      <c r="H20" s="240">
        <v>30</v>
      </c>
      <c r="I20" s="238">
        <v>203</v>
      </c>
      <c r="J20" s="239">
        <f t="shared" si="6"/>
        <v>227.36</v>
      </c>
      <c r="K20" s="240">
        <f t="shared" si="7"/>
        <v>6820.8</v>
      </c>
      <c r="L20" s="241">
        <f t="shared" si="2"/>
        <v>0</v>
      </c>
      <c r="M20" s="242">
        <f t="shared" si="0"/>
        <v>0</v>
      </c>
      <c r="N20" s="242" t="s">
        <v>1091</v>
      </c>
      <c r="O20" s="242" t="s">
        <v>1092</v>
      </c>
      <c r="P20" s="240">
        <f t="shared" si="8"/>
        <v>6820.8</v>
      </c>
      <c r="Q20" s="240">
        <f t="shared" si="3"/>
        <v>0</v>
      </c>
      <c r="R20" s="285">
        <v>3090</v>
      </c>
      <c r="S20" s="240">
        <f t="shared" si="4"/>
        <v>3730.8</v>
      </c>
      <c r="U20" s="252">
        <f t="shared" si="9"/>
        <v>0</v>
      </c>
    </row>
    <row r="21" spans="1:21">
      <c r="A21" s="235">
        <v>15</v>
      </c>
      <c r="B21" s="236" t="s">
        <v>1098</v>
      </c>
      <c r="C21" s="251">
        <v>10</v>
      </c>
      <c r="D21" s="235"/>
      <c r="E21" s="238">
        <v>895</v>
      </c>
      <c r="F21" s="239">
        <v>1002.4000000000001</v>
      </c>
      <c r="G21" s="240">
        <f t="shared" si="5"/>
        <v>10024</v>
      </c>
      <c r="H21" s="240">
        <v>10</v>
      </c>
      <c r="I21" s="238">
        <v>895</v>
      </c>
      <c r="J21" s="239">
        <f t="shared" si="6"/>
        <v>1002.4000000000001</v>
      </c>
      <c r="K21" s="240">
        <f t="shared" si="7"/>
        <v>10024</v>
      </c>
      <c r="L21" s="241">
        <f t="shared" si="2"/>
        <v>0</v>
      </c>
      <c r="M21" s="242">
        <f t="shared" si="0"/>
        <v>0</v>
      </c>
      <c r="N21" s="242" t="s">
        <v>1099</v>
      </c>
      <c r="O21" s="242" t="s">
        <v>1100</v>
      </c>
      <c r="P21" s="240">
        <f t="shared" si="8"/>
        <v>10024</v>
      </c>
      <c r="Q21" s="240">
        <f t="shared" si="3"/>
        <v>0</v>
      </c>
      <c r="R21" s="285">
        <v>8950</v>
      </c>
      <c r="S21" s="240">
        <f t="shared" si="4"/>
        <v>1074</v>
      </c>
      <c r="U21" s="252">
        <f t="shared" si="9"/>
        <v>0</v>
      </c>
    </row>
    <row r="22" spans="1:21">
      <c r="A22" s="235">
        <v>16</v>
      </c>
      <c r="B22" s="243" t="s">
        <v>1098</v>
      </c>
      <c r="C22" s="255"/>
      <c r="D22" s="256"/>
      <c r="E22" s="245"/>
      <c r="F22" s="246"/>
      <c r="G22" s="244"/>
      <c r="H22" s="244">
        <v>300</v>
      </c>
      <c r="I22" s="245">
        <v>1826</v>
      </c>
      <c r="J22" s="246">
        <f t="shared" si="6"/>
        <v>2045.1200000000001</v>
      </c>
      <c r="K22" s="244">
        <f t="shared" si="7"/>
        <v>613536</v>
      </c>
      <c r="L22" s="247">
        <f t="shared" si="2"/>
        <v>613536</v>
      </c>
      <c r="M22" s="242">
        <f t="shared" si="0"/>
        <v>547800</v>
      </c>
      <c r="N22" s="242" t="s">
        <v>1101</v>
      </c>
      <c r="O22" s="242" t="s">
        <v>1102</v>
      </c>
      <c r="P22" s="240">
        <f t="shared" si="8"/>
        <v>613536</v>
      </c>
      <c r="Q22" s="240">
        <f t="shared" si="3"/>
        <v>0</v>
      </c>
      <c r="R22" s="285">
        <v>272205</v>
      </c>
      <c r="S22" s="240">
        <f t="shared" si="4"/>
        <v>341331</v>
      </c>
      <c r="U22" s="252">
        <f t="shared" si="9"/>
        <v>0</v>
      </c>
    </row>
    <row r="23" spans="1:21">
      <c r="A23" s="235">
        <v>17</v>
      </c>
      <c r="B23" s="236" t="s">
        <v>573</v>
      </c>
      <c r="C23" s="251">
        <v>20</v>
      </c>
      <c r="D23" s="235"/>
      <c r="E23" s="238">
        <v>2139</v>
      </c>
      <c r="F23" s="239">
        <v>2395.6800000000003</v>
      </c>
      <c r="G23" s="240">
        <f t="shared" si="5"/>
        <v>47913.600000000006</v>
      </c>
      <c r="H23" s="240">
        <v>20</v>
      </c>
      <c r="I23" s="238">
        <v>2139</v>
      </c>
      <c r="J23" s="239">
        <f t="shared" si="6"/>
        <v>2395.6800000000003</v>
      </c>
      <c r="K23" s="240">
        <f t="shared" si="7"/>
        <v>47913.600000000006</v>
      </c>
      <c r="L23" s="241">
        <f t="shared" si="2"/>
        <v>0</v>
      </c>
      <c r="M23" s="242">
        <f t="shared" si="0"/>
        <v>0</v>
      </c>
      <c r="N23" s="242" t="s">
        <v>1091</v>
      </c>
      <c r="O23" s="242" t="s">
        <v>1092</v>
      </c>
      <c r="P23" s="240">
        <f t="shared" si="8"/>
        <v>47913.600000000006</v>
      </c>
      <c r="Q23" s="240">
        <f t="shared" si="3"/>
        <v>0</v>
      </c>
      <c r="R23" s="285">
        <v>31060</v>
      </c>
      <c r="S23" s="240">
        <f t="shared" si="4"/>
        <v>16853.600000000006</v>
      </c>
      <c r="U23" s="252">
        <f t="shared" si="9"/>
        <v>0</v>
      </c>
    </row>
    <row r="24" spans="1:21">
      <c r="A24" s="235">
        <v>18</v>
      </c>
      <c r="B24" s="236" t="s">
        <v>578</v>
      </c>
      <c r="C24" s="251">
        <v>30</v>
      </c>
      <c r="D24" s="235"/>
      <c r="E24" s="254">
        <v>61</v>
      </c>
      <c r="F24" s="239">
        <v>68.320000000000007</v>
      </c>
      <c r="G24" s="240">
        <f t="shared" si="5"/>
        <v>2049.6000000000004</v>
      </c>
      <c r="H24" s="240">
        <v>30</v>
      </c>
      <c r="I24" s="254">
        <v>61</v>
      </c>
      <c r="J24" s="239">
        <f t="shared" si="6"/>
        <v>68.320000000000007</v>
      </c>
      <c r="K24" s="240">
        <f t="shared" si="7"/>
        <v>2049.6000000000004</v>
      </c>
      <c r="L24" s="241">
        <f t="shared" si="2"/>
        <v>0</v>
      </c>
      <c r="M24" s="242">
        <f t="shared" si="0"/>
        <v>0</v>
      </c>
      <c r="N24" s="242" t="s">
        <v>1091</v>
      </c>
      <c r="O24" s="242" t="s">
        <v>1092</v>
      </c>
      <c r="P24" s="240">
        <f t="shared" si="8"/>
        <v>2049.6000000000004</v>
      </c>
      <c r="Q24" s="240">
        <f t="shared" si="3"/>
        <v>0</v>
      </c>
      <c r="R24" s="285">
        <v>1710</v>
      </c>
      <c r="S24" s="240">
        <f t="shared" si="4"/>
        <v>339.60000000000036</v>
      </c>
      <c r="U24" s="252">
        <f t="shared" si="9"/>
        <v>0</v>
      </c>
    </row>
    <row r="25" spans="1:21">
      <c r="A25" s="235">
        <v>19</v>
      </c>
      <c r="B25" s="236" t="s">
        <v>1103</v>
      </c>
      <c r="C25" s="251">
        <v>2</v>
      </c>
      <c r="D25" s="235"/>
      <c r="E25" s="238">
        <v>1795.5</v>
      </c>
      <c r="F25" s="239">
        <v>2010.9600000000003</v>
      </c>
      <c r="G25" s="240">
        <f t="shared" si="5"/>
        <v>4021.9200000000005</v>
      </c>
      <c r="H25" s="240">
        <v>2</v>
      </c>
      <c r="I25" s="238">
        <v>1795.5</v>
      </c>
      <c r="J25" s="239">
        <f t="shared" si="6"/>
        <v>2010.9600000000003</v>
      </c>
      <c r="K25" s="240">
        <f t="shared" si="7"/>
        <v>4021.9200000000005</v>
      </c>
      <c r="L25" s="241">
        <f t="shared" si="2"/>
        <v>0</v>
      </c>
      <c r="M25" s="242">
        <f t="shared" si="0"/>
        <v>0</v>
      </c>
      <c r="N25" s="242" t="s">
        <v>1091</v>
      </c>
      <c r="O25" s="242" t="s">
        <v>1092</v>
      </c>
      <c r="P25" s="240">
        <f t="shared" si="8"/>
        <v>4021.9200000000005</v>
      </c>
      <c r="Q25" s="240">
        <f t="shared" si="3"/>
        <v>0</v>
      </c>
      <c r="R25" s="285">
        <v>2666</v>
      </c>
      <c r="S25" s="240">
        <f t="shared" si="4"/>
        <v>1355.9200000000005</v>
      </c>
      <c r="U25" s="252">
        <f t="shared" si="9"/>
        <v>0</v>
      </c>
    </row>
    <row r="26" spans="1:21">
      <c r="A26" s="235">
        <v>20</v>
      </c>
      <c r="B26" s="236" t="s">
        <v>593</v>
      </c>
      <c r="C26" s="251">
        <v>40</v>
      </c>
      <c r="D26" s="235"/>
      <c r="E26" s="238">
        <v>900</v>
      </c>
      <c r="F26" s="239">
        <v>1008.0000000000001</v>
      </c>
      <c r="G26" s="240">
        <f t="shared" si="5"/>
        <v>40320.000000000007</v>
      </c>
      <c r="H26" s="240">
        <v>40</v>
      </c>
      <c r="I26" s="238">
        <v>900</v>
      </c>
      <c r="J26" s="239">
        <f t="shared" si="6"/>
        <v>1008.0000000000001</v>
      </c>
      <c r="K26" s="240">
        <f t="shared" si="7"/>
        <v>40320.000000000007</v>
      </c>
      <c r="L26" s="241">
        <f t="shared" si="2"/>
        <v>0</v>
      </c>
      <c r="M26" s="242">
        <f t="shared" si="0"/>
        <v>0</v>
      </c>
      <c r="N26" s="242" t="s">
        <v>1104</v>
      </c>
      <c r="O26" s="242" t="s">
        <v>1105</v>
      </c>
      <c r="P26" s="240">
        <f t="shared" si="8"/>
        <v>40320.000000000007</v>
      </c>
      <c r="Q26" s="240">
        <f t="shared" si="3"/>
        <v>0</v>
      </c>
      <c r="R26" s="285">
        <v>24505.599999999999</v>
      </c>
      <c r="S26" s="240">
        <f t="shared" si="4"/>
        <v>15814.400000000009</v>
      </c>
      <c r="U26" s="252">
        <f t="shared" si="9"/>
        <v>0</v>
      </c>
    </row>
    <row r="27" spans="1:21">
      <c r="A27" s="235">
        <v>21</v>
      </c>
      <c r="B27" s="236" t="s">
        <v>600</v>
      </c>
      <c r="C27" s="251">
        <v>30</v>
      </c>
      <c r="D27" s="235"/>
      <c r="E27" s="238">
        <v>5765</v>
      </c>
      <c r="F27" s="239">
        <v>6456.8</v>
      </c>
      <c r="G27" s="240">
        <f t="shared" si="5"/>
        <v>193704</v>
      </c>
      <c r="H27" s="240">
        <v>30</v>
      </c>
      <c r="I27" s="238">
        <v>5765</v>
      </c>
      <c r="J27" s="239">
        <f t="shared" si="6"/>
        <v>6456.8</v>
      </c>
      <c r="K27" s="240">
        <f t="shared" si="7"/>
        <v>193704</v>
      </c>
      <c r="L27" s="241">
        <f t="shared" si="2"/>
        <v>0</v>
      </c>
      <c r="M27" s="242">
        <f t="shared" si="0"/>
        <v>0</v>
      </c>
      <c r="N27" s="242" t="s">
        <v>1091</v>
      </c>
      <c r="O27" s="242" t="s">
        <v>1092</v>
      </c>
      <c r="P27" s="240">
        <f t="shared" si="8"/>
        <v>193704</v>
      </c>
      <c r="Q27" s="240">
        <f t="shared" si="3"/>
        <v>0</v>
      </c>
      <c r="R27" s="285">
        <v>79890</v>
      </c>
      <c r="S27" s="240">
        <f t="shared" si="4"/>
        <v>113814</v>
      </c>
      <c r="U27" s="252">
        <f t="shared" si="9"/>
        <v>0</v>
      </c>
    </row>
    <row r="28" spans="1:21">
      <c r="A28" s="235">
        <v>22</v>
      </c>
      <c r="B28" s="236" t="s">
        <v>698</v>
      </c>
      <c r="C28" s="251">
        <v>20</v>
      </c>
      <c r="D28" s="235"/>
      <c r="E28" s="238">
        <v>140</v>
      </c>
      <c r="F28" s="239">
        <v>156.80000000000001</v>
      </c>
      <c r="G28" s="240">
        <f t="shared" si="5"/>
        <v>3136</v>
      </c>
      <c r="H28" s="240">
        <v>20</v>
      </c>
      <c r="I28" s="238">
        <v>140</v>
      </c>
      <c r="J28" s="239">
        <f t="shared" si="6"/>
        <v>156.80000000000001</v>
      </c>
      <c r="K28" s="240">
        <f t="shared" si="7"/>
        <v>3136</v>
      </c>
      <c r="L28" s="241">
        <f t="shared" si="2"/>
        <v>0</v>
      </c>
      <c r="M28" s="242">
        <f t="shared" si="0"/>
        <v>0</v>
      </c>
      <c r="P28" s="240"/>
      <c r="Q28" s="240">
        <f t="shared" si="3"/>
        <v>3136</v>
      </c>
      <c r="R28" s="285"/>
      <c r="S28" s="240">
        <f t="shared" si="4"/>
        <v>3136</v>
      </c>
      <c r="T28" s="242" t="s">
        <v>1106</v>
      </c>
      <c r="U28" s="252">
        <f t="shared" si="9"/>
        <v>-3136</v>
      </c>
    </row>
    <row r="29" spans="1:21">
      <c r="A29" s="235">
        <v>23</v>
      </c>
      <c r="B29" s="236" t="s">
        <v>604</v>
      </c>
      <c r="C29" s="251">
        <v>30</v>
      </c>
      <c r="D29" s="235"/>
      <c r="E29" s="238">
        <v>790</v>
      </c>
      <c r="F29" s="239">
        <v>884.80000000000007</v>
      </c>
      <c r="G29" s="240">
        <f t="shared" si="5"/>
        <v>26544.000000000004</v>
      </c>
      <c r="H29" s="240">
        <v>30</v>
      </c>
      <c r="I29" s="238">
        <v>790</v>
      </c>
      <c r="J29" s="239">
        <f t="shared" si="6"/>
        <v>884.80000000000007</v>
      </c>
      <c r="K29" s="240">
        <f t="shared" si="7"/>
        <v>26544.000000000004</v>
      </c>
      <c r="L29" s="241">
        <f t="shared" si="2"/>
        <v>0</v>
      </c>
      <c r="M29" s="242">
        <f t="shared" si="0"/>
        <v>0</v>
      </c>
      <c r="N29" s="242" t="s">
        <v>1091</v>
      </c>
      <c r="O29" s="242" t="s">
        <v>1092</v>
      </c>
      <c r="P29" s="240">
        <f t="shared" si="8"/>
        <v>26544.000000000004</v>
      </c>
      <c r="Q29" s="240">
        <f t="shared" si="3"/>
        <v>0</v>
      </c>
      <c r="R29" s="285">
        <v>13290</v>
      </c>
      <c r="S29" s="240">
        <f t="shared" si="4"/>
        <v>13254.000000000004</v>
      </c>
      <c r="U29" s="252">
        <f t="shared" si="9"/>
        <v>0</v>
      </c>
    </row>
    <row r="30" spans="1:21">
      <c r="A30" s="235">
        <v>24</v>
      </c>
      <c r="B30" s="236" t="s">
        <v>1107</v>
      </c>
      <c r="C30" s="251">
        <v>100</v>
      </c>
      <c r="D30" s="235"/>
      <c r="E30" s="238">
        <v>1760</v>
      </c>
      <c r="F30" s="239">
        <v>1971.2000000000003</v>
      </c>
      <c r="G30" s="240">
        <f t="shared" si="5"/>
        <v>197120.00000000003</v>
      </c>
      <c r="H30" s="240">
        <v>100</v>
      </c>
      <c r="I30" s="238">
        <v>1760</v>
      </c>
      <c r="J30" s="239">
        <f t="shared" si="6"/>
        <v>1971.2000000000003</v>
      </c>
      <c r="K30" s="240">
        <f t="shared" si="7"/>
        <v>197120.00000000003</v>
      </c>
      <c r="L30" s="241">
        <f t="shared" si="2"/>
        <v>0</v>
      </c>
      <c r="M30" s="242">
        <f t="shared" si="0"/>
        <v>0</v>
      </c>
      <c r="N30" s="242" t="s">
        <v>1091</v>
      </c>
      <c r="O30" s="242" t="s">
        <v>1092</v>
      </c>
      <c r="P30" s="240">
        <f t="shared" si="8"/>
        <v>197120.00000000003</v>
      </c>
      <c r="Q30" s="240">
        <f t="shared" si="3"/>
        <v>0</v>
      </c>
      <c r="R30" s="285">
        <v>77300</v>
      </c>
      <c r="S30" s="240">
        <f t="shared" si="4"/>
        <v>119820.00000000003</v>
      </c>
      <c r="U30" s="252">
        <f t="shared" si="9"/>
        <v>0</v>
      </c>
    </row>
    <row r="31" spans="1:21">
      <c r="A31" s="235">
        <v>25</v>
      </c>
      <c r="B31" s="257" t="s">
        <v>1108</v>
      </c>
      <c r="C31" s="258">
        <v>500</v>
      </c>
      <c r="D31" s="235"/>
      <c r="E31" s="259">
        <v>70</v>
      </c>
      <c r="F31" s="239">
        <v>78.400000000000006</v>
      </c>
      <c r="G31" s="240">
        <f t="shared" si="5"/>
        <v>39200</v>
      </c>
      <c r="H31" s="240">
        <v>500</v>
      </c>
      <c r="I31" s="259">
        <v>70</v>
      </c>
      <c r="J31" s="239">
        <f t="shared" si="6"/>
        <v>78.400000000000006</v>
      </c>
      <c r="K31" s="240">
        <f t="shared" si="7"/>
        <v>39200</v>
      </c>
      <c r="L31" s="241">
        <f t="shared" si="2"/>
        <v>0</v>
      </c>
      <c r="M31" s="242">
        <f t="shared" si="0"/>
        <v>0</v>
      </c>
      <c r="N31" s="242" t="s">
        <v>1091</v>
      </c>
      <c r="O31" s="242" t="s">
        <v>1092</v>
      </c>
      <c r="P31" s="240">
        <f t="shared" si="8"/>
        <v>39200</v>
      </c>
      <c r="Q31" s="240">
        <f t="shared" si="3"/>
        <v>0</v>
      </c>
      <c r="R31" s="285">
        <v>21500</v>
      </c>
      <c r="S31" s="240">
        <f t="shared" si="4"/>
        <v>17700</v>
      </c>
      <c r="U31" s="252">
        <f t="shared" si="9"/>
        <v>0</v>
      </c>
    </row>
    <row r="32" spans="1:21">
      <c r="A32" s="235">
        <v>26</v>
      </c>
      <c r="B32" s="257" t="s">
        <v>615</v>
      </c>
      <c r="C32" s="258">
        <v>1000</v>
      </c>
      <c r="D32" s="235"/>
      <c r="E32" s="259">
        <v>63</v>
      </c>
      <c r="F32" s="239">
        <v>70.56</v>
      </c>
      <c r="G32" s="240">
        <f t="shared" si="5"/>
        <v>70560</v>
      </c>
      <c r="H32" s="240">
        <v>1000</v>
      </c>
      <c r="I32" s="259">
        <v>63</v>
      </c>
      <c r="J32" s="239">
        <f t="shared" si="6"/>
        <v>70.56</v>
      </c>
      <c r="K32" s="240">
        <f t="shared" si="7"/>
        <v>70560</v>
      </c>
      <c r="L32" s="241">
        <f t="shared" si="2"/>
        <v>0</v>
      </c>
      <c r="M32" s="242">
        <f t="shared" si="0"/>
        <v>0</v>
      </c>
      <c r="N32" s="242" t="s">
        <v>1099</v>
      </c>
      <c r="O32" s="242" t="s">
        <v>1100</v>
      </c>
      <c r="P32" s="240">
        <f t="shared" si="8"/>
        <v>70560</v>
      </c>
      <c r="Q32" s="240">
        <f t="shared" si="3"/>
        <v>0</v>
      </c>
      <c r="R32" s="285">
        <v>63000</v>
      </c>
      <c r="S32" s="240">
        <f t="shared" si="4"/>
        <v>7560</v>
      </c>
      <c r="U32" s="252">
        <f t="shared" si="9"/>
        <v>0</v>
      </c>
    </row>
    <row r="33" spans="1:21">
      <c r="A33" s="235">
        <v>27</v>
      </c>
      <c r="B33" s="257" t="s">
        <v>624</v>
      </c>
      <c r="C33" s="258">
        <v>300</v>
      </c>
      <c r="D33" s="235"/>
      <c r="E33" s="260">
        <v>300</v>
      </c>
      <c r="F33" s="239">
        <v>336.00000000000006</v>
      </c>
      <c r="G33" s="240">
        <f t="shared" si="5"/>
        <v>100800.00000000001</v>
      </c>
      <c r="H33" s="240">
        <v>300</v>
      </c>
      <c r="I33" s="260">
        <v>300</v>
      </c>
      <c r="J33" s="239">
        <f t="shared" si="6"/>
        <v>336.00000000000006</v>
      </c>
      <c r="K33" s="240">
        <f t="shared" si="7"/>
        <v>100800.00000000001</v>
      </c>
      <c r="L33" s="241">
        <f t="shared" si="2"/>
        <v>0</v>
      </c>
      <c r="M33" s="242">
        <f t="shared" si="0"/>
        <v>0</v>
      </c>
      <c r="N33" s="242" t="s">
        <v>1091</v>
      </c>
      <c r="O33" s="242" t="s">
        <v>1092</v>
      </c>
      <c r="P33" s="240">
        <f t="shared" si="8"/>
        <v>100800.00000000001</v>
      </c>
      <c r="Q33" s="240">
        <f t="shared" si="3"/>
        <v>0</v>
      </c>
      <c r="R33" s="285">
        <v>48900</v>
      </c>
      <c r="S33" s="240">
        <f t="shared" si="4"/>
        <v>51900.000000000015</v>
      </c>
      <c r="U33" s="252">
        <f t="shared" si="9"/>
        <v>0</v>
      </c>
    </row>
    <row r="34" spans="1:21">
      <c r="A34" s="235">
        <v>28</v>
      </c>
      <c r="B34" s="257" t="s">
        <v>636</v>
      </c>
      <c r="C34" s="258">
        <v>10</v>
      </c>
      <c r="D34" s="235"/>
      <c r="E34" s="259">
        <v>1090</v>
      </c>
      <c r="F34" s="239">
        <v>1220.8000000000002</v>
      </c>
      <c r="G34" s="240">
        <f t="shared" si="5"/>
        <v>12208.000000000002</v>
      </c>
      <c r="H34" s="240">
        <v>10</v>
      </c>
      <c r="I34" s="259">
        <v>1090</v>
      </c>
      <c r="J34" s="239">
        <f t="shared" si="6"/>
        <v>1220.8000000000002</v>
      </c>
      <c r="K34" s="240">
        <f t="shared" si="7"/>
        <v>12208.000000000002</v>
      </c>
      <c r="L34" s="241">
        <f t="shared" si="2"/>
        <v>0</v>
      </c>
      <c r="M34" s="242">
        <f t="shared" si="0"/>
        <v>0</v>
      </c>
      <c r="N34" s="242" t="s">
        <v>1109</v>
      </c>
      <c r="O34" s="242" t="s">
        <v>1110</v>
      </c>
      <c r="P34" s="240">
        <f t="shared" si="8"/>
        <v>12208.000000000002</v>
      </c>
      <c r="Q34" s="240">
        <f t="shared" si="3"/>
        <v>0</v>
      </c>
      <c r="R34" s="285">
        <v>9210</v>
      </c>
      <c r="S34" s="240">
        <f t="shared" si="4"/>
        <v>2998.0000000000018</v>
      </c>
      <c r="U34" s="252">
        <f t="shared" si="9"/>
        <v>0</v>
      </c>
    </row>
    <row r="35" spans="1:21">
      <c r="A35" s="235">
        <v>29</v>
      </c>
      <c r="B35" s="261" t="s">
        <v>636</v>
      </c>
      <c r="C35" s="262"/>
      <c r="D35" s="256"/>
      <c r="E35" s="263"/>
      <c r="F35" s="246"/>
      <c r="G35" s="244"/>
      <c r="H35" s="244">
        <v>20</v>
      </c>
      <c r="I35" s="263">
        <v>1900</v>
      </c>
      <c r="J35" s="246">
        <f t="shared" si="6"/>
        <v>2128</v>
      </c>
      <c r="K35" s="244">
        <f t="shared" si="7"/>
        <v>42560</v>
      </c>
      <c r="L35" s="247">
        <f t="shared" si="2"/>
        <v>42560</v>
      </c>
      <c r="M35" s="242">
        <f t="shared" si="0"/>
        <v>38000</v>
      </c>
      <c r="N35" s="242" t="s">
        <v>1088</v>
      </c>
      <c r="O35" s="242" t="s">
        <v>1089</v>
      </c>
      <c r="P35" s="240">
        <f t="shared" si="8"/>
        <v>42560</v>
      </c>
      <c r="Q35" s="240">
        <f t="shared" si="3"/>
        <v>0</v>
      </c>
      <c r="R35" s="285">
        <v>30000</v>
      </c>
      <c r="S35" s="240">
        <f t="shared" si="4"/>
        <v>12560</v>
      </c>
      <c r="U35" s="252">
        <f t="shared" si="9"/>
        <v>0</v>
      </c>
    </row>
    <row r="36" spans="1:21" ht="30">
      <c r="A36" s="235">
        <v>30</v>
      </c>
      <c r="B36" s="264" t="s">
        <v>1111</v>
      </c>
      <c r="C36" s="262"/>
      <c r="D36" s="256"/>
      <c r="E36" s="263"/>
      <c r="F36" s="246"/>
      <c r="G36" s="244"/>
      <c r="H36" s="244">
        <v>2</v>
      </c>
      <c r="I36" s="245">
        <v>1190</v>
      </c>
      <c r="J36" s="246">
        <f>I36</f>
        <v>1190</v>
      </c>
      <c r="K36" s="244">
        <f t="shared" si="7"/>
        <v>2380</v>
      </c>
      <c r="L36" s="247">
        <f t="shared" si="2"/>
        <v>2380</v>
      </c>
      <c r="M36" s="242">
        <f t="shared" si="0"/>
        <v>2125</v>
      </c>
      <c r="N36" s="242" t="s">
        <v>1088</v>
      </c>
      <c r="O36" s="242" t="s">
        <v>1089</v>
      </c>
      <c r="P36" s="240">
        <f t="shared" si="8"/>
        <v>2380</v>
      </c>
      <c r="Q36" s="240">
        <f t="shared" si="3"/>
        <v>0</v>
      </c>
      <c r="R36" s="285">
        <v>2000</v>
      </c>
      <c r="S36" s="240">
        <f t="shared" si="4"/>
        <v>380</v>
      </c>
      <c r="U36" s="252">
        <f t="shared" si="9"/>
        <v>0</v>
      </c>
    </row>
    <row r="37" spans="1:21" ht="30">
      <c r="A37" s="235">
        <v>31</v>
      </c>
      <c r="B37" s="264" t="s">
        <v>1112</v>
      </c>
      <c r="C37" s="262"/>
      <c r="D37" s="256"/>
      <c r="E37" s="263"/>
      <c r="F37" s="246"/>
      <c r="G37" s="244"/>
      <c r="H37" s="244">
        <v>3</v>
      </c>
      <c r="I37" s="245">
        <v>1990</v>
      </c>
      <c r="J37" s="246">
        <f>I37</f>
        <v>1990</v>
      </c>
      <c r="K37" s="244">
        <f t="shared" si="7"/>
        <v>5970</v>
      </c>
      <c r="L37" s="247">
        <f t="shared" si="2"/>
        <v>5970</v>
      </c>
      <c r="M37" s="242">
        <f t="shared" si="0"/>
        <v>5330.3571428571422</v>
      </c>
      <c r="N37" s="242" t="s">
        <v>1088</v>
      </c>
      <c r="O37" s="242" t="s">
        <v>1089</v>
      </c>
      <c r="P37" s="240">
        <f t="shared" si="8"/>
        <v>5970</v>
      </c>
      <c r="Q37" s="240">
        <f t="shared" si="3"/>
        <v>0</v>
      </c>
      <c r="R37" s="285">
        <v>4500</v>
      </c>
      <c r="S37" s="240">
        <f t="shared" si="4"/>
        <v>1470</v>
      </c>
      <c r="U37" s="252">
        <f t="shared" si="9"/>
        <v>0</v>
      </c>
    </row>
    <row r="38" spans="1:21">
      <c r="A38" s="235">
        <v>32</v>
      </c>
      <c r="B38" s="264" t="s">
        <v>832</v>
      </c>
      <c r="C38" s="262"/>
      <c r="D38" s="256"/>
      <c r="E38" s="263"/>
      <c r="F38" s="246"/>
      <c r="G38" s="244"/>
      <c r="H38" s="244">
        <v>50</v>
      </c>
      <c r="I38" s="245">
        <v>900</v>
      </c>
      <c r="J38" s="246">
        <f t="shared" si="6"/>
        <v>1008.0000000000001</v>
      </c>
      <c r="K38" s="244">
        <f t="shared" si="7"/>
        <v>50400.000000000007</v>
      </c>
      <c r="L38" s="247">
        <f t="shared" si="2"/>
        <v>50400.000000000007</v>
      </c>
      <c r="M38" s="242">
        <f t="shared" si="0"/>
        <v>45000</v>
      </c>
      <c r="N38" s="242" t="s">
        <v>1088</v>
      </c>
      <c r="O38" s="242" t="s">
        <v>1089</v>
      </c>
      <c r="P38" s="240">
        <f t="shared" si="8"/>
        <v>50400.000000000007</v>
      </c>
      <c r="Q38" s="240">
        <f t="shared" si="3"/>
        <v>0</v>
      </c>
      <c r="R38" s="285">
        <v>25950</v>
      </c>
      <c r="S38" s="240">
        <f t="shared" si="4"/>
        <v>24450.000000000007</v>
      </c>
      <c r="U38" s="252">
        <f t="shared" si="9"/>
        <v>0</v>
      </c>
    </row>
    <row r="39" spans="1:21">
      <c r="A39" s="235">
        <v>33</v>
      </c>
      <c r="B39" s="264" t="s">
        <v>1113</v>
      </c>
      <c r="C39" s="262"/>
      <c r="D39" s="256"/>
      <c r="E39" s="263"/>
      <c r="F39" s="246"/>
      <c r="G39" s="244"/>
      <c r="H39" s="244">
        <v>2</v>
      </c>
      <c r="I39" s="245">
        <v>4100</v>
      </c>
      <c r="J39" s="246">
        <f t="shared" si="6"/>
        <v>4592</v>
      </c>
      <c r="K39" s="244">
        <f t="shared" si="7"/>
        <v>9184</v>
      </c>
      <c r="L39" s="247">
        <f t="shared" si="2"/>
        <v>9184</v>
      </c>
      <c r="M39" s="242">
        <f>L39/1.12</f>
        <v>8200</v>
      </c>
      <c r="N39" s="242" t="s">
        <v>1088</v>
      </c>
      <c r="O39" s="242" t="s">
        <v>1089</v>
      </c>
      <c r="P39" s="240">
        <f t="shared" si="8"/>
        <v>9184</v>
      </c>
      <c r="Q39" s="240">
        <f t="shared" si="3"/>
        <v>0</v>
      </c>
      <c r="R39" s="285">
        <v>7800</v>
      </c>
      <c r="S39" s="240">
        <f t="shared" si="4"/>
        <v>1384</v>
      </c>
      <c r="U39" s="252">
        <f t="shared" si="9"/>
        <v>0</v>
      </c>
    </row>
    <row r="40" spans="1:21">
      <c r="A40" s="235"/>
      <c r="B40" s="265" t="s">
        <v>1114</v>
      </c>
      <c r="C40" s="265"/>
      <c r="D40" s="265"/>
      <c r="E40" s="265"/>
      <c r="F40" s="265"/>
      <c r="G40" s="266">
        <f>SUM(G7:G39)</f>
        <v>1125455.52</v>
      </c>
      <c r="H40" s="266"/>
      <c r="I40" s="266"/>
      <c r="J40" s="266"/>
      <c r="K40" s="266">
        <f>SUM(K7:K39)</f>
        <v>1849485.52</v>
      </c>
      <c r="L40" s="266">
        <f>SUM(L7:L39)</f>
        <v>724030</v>
      </c>
      <c r="M40" s="242">
        <f t="shared" ref="M40:M60" si="10">L40/1.12</f>
        <v>646455.35714285704</v>
      </c>
      <c r="P40" s="266">
        <f>SUM(P7:P39)</f>
        <v>1846349.52</v>
      </c>
      <c r="Q40" s="266">
        <f>SUM(Q7:Q39)</f>
        <v>3136</v>
      </c>
      <c r="R40" s="266">
        <f>SUM(R7:R39)</f>
        <v>951406.6</v>
      </c>
      <c r="S40" s="266">
        <f>SUM(S7:S39)</f>
        <v>898078.91999999993</v>
      </c>
    </row>
    <row r="41" spans="1:21">
      <c r="A41" s="235">
        <v>1</v>
      </c>
      <c r="B41" s="257" t="s">
        <v>1115</v>
      </c>
      <c r="C41" s="258">
        <v>1000</v>
      </c>
      <c r="D41" s="235"/>
      <c r="E41" s="259">
        <v>220</v>
      </c>
      <c r="F41" s="239">
        <v>246.40000000000003</v>
      </c>
      <c r="G41" s="240">
        <f>C41*F41</f>
        <v>246400.00000000003</v>
      </c>
      <c r="H41" s="240">
        <v>1000</v>
      </c>
      <c r="I41" s="259">
        <v>220</v>
      </c>
      <c r="J41" s="239">
        <f>I41*1.12</f>
        <v>246.40000000000003</v>
      </c>
      <c r="K41" s="240">
        <f>J41*H41</f>
        <v>246400.00000000003</v>
      </c>
      <c r="L41" s="241">
        <f>K41-G41</f>
        <v>0</v>
      </c>
      <c r="M41" s="242">
        <f t="shared" si="10"/>
        <v>0</v>
      </c>
      <c r="N41" s="242" t="s">
        <v>1116</v>
      </c>
      <c r="O41" s="242" t="s">
        <v>1117</v>
      </c>
      <c r="P41" s="240">
        <f t="shared" si="8"/>
        <v>246400.00000000003</v>
      </c>
      <c r="Q41" s="240">
        <f t="shared" si="3"/>
        <v>0</v>
      </c>
      <c r="R41" s="285">
        <v>168000</v>
      </c>
      <c r="S41" s="240">
        <f>K41-R41</f>
        <v>78400.000000000029</v>
      </c>
    </row>
    <row r="42" spans="1:21">
      <c r="A42" s="235">
        <v>2</v>
      </c>
      <c r="B42" s="261" t="s">
        <v>1115</v>
      </c>
      <c r="C42" s="262"/>
      <c r="D42" s="256"/>
      <c r="E42" s="263"/>
      <c r="F42" s="246"/>
      <c r="G42" s="244"/>
      <c r="H42" s="244">
        <v>1000</v>
      </c>
      <c r="I42" s="263">
        <v>275</v>
      </c>
      <c r="J42" s="246">
        <f>I42*1.12</f>
        <v>308.00000000000006</v>
      </c>
      <c r="K42" s="244">
        <f>J42*H42</f>
        <v>308000.00000000006</v>
      </c>
      <c r="L42" s="247">
        <f>K42-G42</f>
        <v>308000.00000000006</v>
      </c>
      <c r="M42" s="242">
        <f t="shared" si="10"/>
        <v>275000</v>
      </c>
      <c r="N42" s="242" t="s">
        <v>1118</v>
      </c>
      <c r="O42" s="242" t="s">
        <v>1119</v>
      </c>
      <c r="P42" s="240">
        <f t="shared" si="8"/>
        <v>308000.00000000006</v>
      </c>
      <c r="Q42" s="240">
        <f t="shared" si="3"/>
        <v>0</v>
      </c>
      <c r="R42" s="285">
        <f>H42*210</f>
        <v>210000</v>
      </c>
      <c r="S42" s="240">
        <f>K42-R42</f>
        <v>98000.000000000058</v>
      </c>
    </row>
    <row r="43" spans="1:21">
      <c r="A43" s="235">
        <v>3</v>
      </c>
      <c r="B43" s="261" t="s">
        <v>843</v>
      </c>
      <c r="C43" s="262"/>
      <c r="D43" s="256"/>
      <c r="E43" s="263"/>
      <c r="F43" s="246"/>
      <c r="G43" s="244"/>
      <c r="H43" s="244">
        <v>500</v>
      </c>
      <c r="I43" s="263">
        <v>270</v>
      </c>
      <c r="J43" s="246">
        <f>I43*1.12</f>
        <v>302.40000000000003</v>
      </c>
      <c r="K43" s="244">
        <f>J43*H43</f>
        <v>151200.00000000003</v>
      </c>
      <c r="L43" s="247">
        <f>K43-G43</f>
        <v>151200.00000000003</v>
      </c>
      <c r="M43" s="242">
        <f t="shared" si="10"/>
        <v>135000</v>
      </c>
      <c r="N43" s="242" t="s">
        <v>1118</v>
      </c>
      <c r="O43" s="242" t="s">
        <v>1119</v>
      </c>
      <c r="P43" s="240">
        <f t="shared" si="8"/>
        <v>151200.00000000003</v>
      </c>
      <c r="Q43" s="240">
        <f t="shared" si="3"/>
        <v>0</v>
      </c>
      <c r="R43" s="285">
        <f>H43*220</f>
        <v>110000</v>
      </c>
      <c r="S43" s="240">
        <f>K43-R43</f>
        <v>41200.000000000029</v>
      </c>
    </row>
    <row r="44" spans="1:21">
      <c r="A44" s="235">
        <v>9</v>
      </c>
      <c r="B44" s="267" t="s">
        <v>845</v>
      </c>
      <c r="C44" s="268"/>
      <c r="D44" s="268"/>
      <c r="E44" s="269"/>
      <c r="F44" s="269"/>
      <c r="G44" s="269"/>
      <c r="H44" s="269">
        <v>2</v>
      </c>
      <c r="I44" s="269">
        <v>35000</v>
      </c>
      <c r="J44" s="269">
        <f>I44*1.12</f>
        <v>39200.000000000007</v>
      </c>
      <c r="K44" s="269">
        <f>J44*H44</f>
        <v>78400.000000000015</v>
      </c>
      <c r="L44" s="247">
        <f>K44-G44</f>
        <v>78400.000000000015</v>
      </c>
      <c r="M44" s="242">
        <f t="shared" si="10"/>
        <v>70000</v>
      </c>
      <c r="N44" s="242" t="s">
        <v>1120</v>
      </c>
      <c r="O44" s="242" t="s">
        <v>1121</v>
      </c>
      <c r="P44" s="240">
        <f t="shared" si="8"/>
        <v>78400.000000000015</v>
      </c>
      <c r="Q44" s="240">
        <f t="shared" si="3"/>
        <v>0</v>
      </c>
      <c r="R44" s="285">
        <v>54872</v>
      </c>
      <c r="S44" s="240">
        <f>K44-R44</f>
        <v>23528.000000000015</v>
      </c>
    </row>
    <row r="45" spans="1:21">
      <c r="A45" s="235">
        <v>10</v>
      </c>
      <c r="B45" s="267" t="s">
        <v>1122</v>
      </c>
      <c r="C45" s="268"/>
      <c r="D45" s="268"/>
      <c r="E45" s="269"/>
      <c r="F45" s="269"/>
      <c r="G45" s="269"/>
      <c r="H45" s="269">
        <v>2</v>
      </c>
      <c r="I45" s="269">
        <v>43450</v>
      </c>
      <c r="J45" s="269">
        <f>I45*1.12</f>
        <v>48664.000000000007</v>
      </c>
      <c r="K45" s="269">
        <f>J45*H45</f>
        <v>97328.000000000015</v>
      </c>
      <c r="L45" s="247">
        <f>K45-G45</f>
        <v>97328.000000000015</v>
      </c>
      <c r="M45" s="242">
        <f t="shared" si="10"/>
        <v>86900</v>
      </c>
      <c r="P45" s="240"/>
      <c r="Q45" s="240">
        <f t="shared" si="3"/>
        <v>97328.000000000015</v>
      </c>
      <c r="R45" s="240"/>
      <c r="S45" s="240">
        <f>K45-R45</f>
        <v>97328.000000000015</v>
      </c>
    </row>
    <row r="46" spans="1:21">
      <c r="A46" s="235"/>
      <c r="B46" s="270" t="s">
        <v>1123</v>
      </c>
      <c r="C46" s="271"/>
      <c r="D46" s="272"/>
      <c r="E46" s="273"/>
      <c r="F46" s="274"/>
      <c r="G46" s="275">
        <f>SUM(G41:G43)</f>
        <v>246400.00000000003</v>
      </c>
      <c r="H46" s="275"/>
      <c r="I46" s="275"/>
      <c r="J46" s="275"/>
      <c r="K46" s="275">
        <f>SUM(K41:K45)</f>
        <v>881328.00000000012</v>
      </c>
      <c r="L46" s="275">
        <f>SUM(L41:L45)</f>
        <v>634928.00000000012</v>
      </c>
      <c r="M46" s="242">
        <f t="shared" si="10"/>
        <v>566900</v>
      </c>
      <c r="P46" s="275">
        <f>SUM(P41:P45)</f>
        <v>784000.00000000012</v>
      </c>
      <c r="Q46" s="275">
        <f>SUM(Q41:Q45)</f>
        <v>97328.000000000015</v>
      </c>
      <c r="R46" s="275">
        <f>SUM(R41:R45)</f>
        <v>542872</v>
      </c>
      <c r="S46" s="275">
        <f>SUM(S41:S45)</f>
        <v>338456.00000000012</v>
      </c>
    </row>
    <row r="47" spans="1:21">
      <c r="A47" s="235">
        <v>1</v>
      </c>
      <c r="B47" s="276" t="s">
        <v>1124</v>
      </c>
      <c r="C47" s="277">
        <v>120</v>
      </c>
      <c r="D47" s="277" t="s">
        <v>1125</v>
      </c>
      <c r="E47" s="98">
        <f>5584/24</f>
        <v>232.66666666666666</v>
      </c>
      <c r="F47" s="98">
        <f>E47*1.12</f>
        <v>260.5866666666667</v>
      </c>
      <c r="G47" s="98">
        <f>C47*F47</f>
        <v>31270.400000000005</v>
      </c>
      <c r="H47" s="98">
        <v>120</v>
      </c>
      <c r="I47" s="98">
        <v>232.66666666666666</v>
      </c>
      <c r="J47" s="98">
        <v>260.58666666666699</v>
      </c>
      <c r="K47" s="98">
        <v>31270.400000000005</v>
      </c>
      <c r="L47" s="241">
        <f t="shared" ref="L47:L55" si="11">K47-G47</f>
        <v>0</v>
      </c>
      <c r="M47" s="242">
        <f t="shared" si="10"/>
        <v>0</v>
      </c>
      <c r="N47" s="242" t="s">
        <v>1126</v>
      </c>
      <c r="O47" s="242" t="s">
        <v>1127</v>
      </c>
      <c r="P47" s="240">
        <f>J47*H47</f>
        <v>31270.400000000038</v>
      </c>
      <c r="Q47" s="240">
        <f t="shared" si="3"/>
        <v>-3.2741809263825417E-11</v>
      </c>
      <c r="R47" s="285">
        <v>15000</v>
      </c>
      <c r="S47" s="240">
        <f t="shared" ref="S47:S55" si="12">K47-R47</f>
        <v>16270.400000000005</v>
      </c>
    </row>
    <row r="48" spans="1:21">
      <c r="A48" s="235">
        <v>2</v>
      </c>
      <c r="B48" s="276" t="s">
        <v>1128</v>
      </c>
      <c r="C48" s="277">
        <v>120</v>
      </c>
      <c r="D48" s="277" t="s">
        <v>1125</v>
      </c>
      <c r="E48" s="98">
        <f>4130/24</f>
        <v>172.08333333333334</v>
      </c>
      <c r="F48" s="98">
        <f t="shared" ref="F48:F55" si="13">E48*1.12</f>
        <v>192.73333333333335</v>
      </c>
      <c r="G48" s="98">
        <f t="shared" ref="G48:G55" si="14">C48*F48</f>
        <v>23128</v>
      </c>
      <c r="H48" s="98">
        <v>120</v>
      </c>
      <c r="I48" s="98">
        <v>172.08333333333334</v>
      </c>
      <c r="J48" s="98">
        <v>192.73333333333335</v>
      </c>
      <c r="K48" s="98">
        <v>23128</v>
      </c>
      <c r="L48" s="241">
        <f t="shared" si="11"/>
        <v>0</v>
      </c>
      <c r="M48" s="242">
        <f t="shared" si="10"/>
        <v>0</v>
      </c>
      <c r="N48" s="242" t="s">
        <v>1126</v>
      </c>
      <c r="O48" s="242" t="s">
        <v>1127</v>
      </c>
      <c r="P48" s="240">
        <f t="shared" ref="P48:P54" si="15">J48*H48</f>
        <v>23128</v>
      </c>
      <c r="Q48" s="240">
        <f t="shared" si="3"/>
        <v>0</v>
      </c>
      <c r="R48" s="285">
        <v>15000</v>
      </c>
      <c r="S48" s="240">
        <f t="shared" si="12"/>
        <v>8128</v>
      </c>
    </row>
    <row r="49" spans="1:20">
      <c r="A49" s="235">
        <v>3</v>
      </c>
      <c r="B49" s="278" t="s">
        <v>1129</v>
      </c>
      <c r="C49" s="279">
        <v>40</v>
      </c>
      <c r="D49" s="279" t="s">
        <v>1125</v>
      </c>
      <c r="E49" s="98">
        <v>4690</v>
      </c>
      <c r="F49" s="98">
        <f t="shared" si="13"/>
        <v>5252.8</v>
      </c>
      <c r="G49" s="98">
        <f t="shared" si="14"/>
        <v>210112</v>
      </c>
      <c r="H49" s="98">
        <v>40</v>
      </c>
      <c r="I49" s="98">
        <v>4690</v>
      </c>
      <c r="J49" s="98">
        <v>5252.8</v>
      </c>
      <c r="K49" s="98">
        <v>210112</v>
      </c>
      <c r="L49" s="241">
        <f t="shared" si="11"/>
        <v>0</v>
      </c>
      <c r="M49" s="242">
        <f t="shared" si="10"/>
        <v>0</v>
      </c>
      <c r="N49" s="242" t="s">
        <v>1130</v>
      </c>
      <c r="O49" s="242" t="s">
        <v>1131</v>
      </c>
      <c r="P49" s="240">
        <f t="shared" si="15"/>
        <v>210112</v>
      </c>
      <c r="Q49" s="240">
        <f t="shared" si="3"/>
        <v>0</v>
      </c>
      <c r="R49" s="285">
        <v>100600</v>
      </c>
      <c r="S49" s="240">
        <f t="shared" si="12"/>
        <v>109512</v>
      </c>
    </row>
    <row r="50" spans="1:20">
      <c r="A50" s="235">
        <v>4</v>
      </c>
      <c r="B50" s="278" t="s">
        <v>286</v>
      </c>
      <c r="C50" s="279">
        <v>40</v>
      </c>
      <c r="D50" s="279" t="s">
        <v>1125</v>
      </c>
      <c r="E50" s="280">
        <v>11840</v>
      </c>
      <c r="F50" s="98">
        <f t="shared" si="13"/>
        <v>13260.800000000001</v>
      </c>
      <c r="G50" s="98">
        <f t="shared" si="14"/>
        <v>530432</v>
      </c>
      <c r="H50" s="98">
        <v>40</v>
      </c>
      <c r="I50" s="280">
        <v>11840</v>
      </c>
      <c r="J50" s="98">
        <v>13260.800000000001</v>
      </c>
      <c r="K50" s="98">
        <v>530432</v>
      </c>
      <c r="L50" s="241">
        <f t="shared" si="11"/>
        <v>0</v>
      </c>
      <c r="M50" s="242">
        <f t="shared" si="10"/>
        <v>0</v>
      </c>
      <c r="P50" s="240">
        <f t="shared" si="15"/>
        <v>530432</v>
      </c>
      <c r="Q50" s="240">
        <f t="shared" si="3"/>
        <v>0</v>
      </c>
      <c r="R50" s="285"/>
      <c r="S50" s="240">
        <f t="shared" si="12"/>
        <v>530432</v>
      </c>
      <c r="T50" s="242" t="s">
        <v>1132</v>
      </c>
    </row>
    <row r="51" spans="1:20">
      <c r="A51" s="235">
        <v>5</v>
      </c>
      <c r="B51" s="278" t="s">
        <v>1133</v>
      </c>
      <c r="C51" s="279">
        <v>610</v>
      </c>
      <c r="D51" s="279" t="s">
        <v>1134</v>
      </c>
      <c r="E51" s="98">
        <f>60170/305</f>
        <v>197.27868852459017</v>
      </c>
      <c r="F51" s="98">
        <f t="shared" si="13"/>
        <v>220.952131147541</v>
      </c>
      <c r="G51" s="98">
        <f t="shared" si="14"/>
        <v>134780.80000000002</v>
      </c>
      <c r="H51" s="98">
        <v>610</v>
      </c>
      <c r="I51" s="98">
        <v>197.27868852459017</v>
      </c>
      <c r="J51" s="98">
        <v>220.952131147541</v>
      </c>
      <c r="K51" s="98">
        <v>134780.80000000002</v>
      </c>
      <c r="L51" s="241">
        <f t="shared" si="11"/>
        <v>0</v>
      </c>
      <c r="M51" s="242">
        <f t="shared" si="10"/>
        <v>0</v>
      </c>
      <c r="N51" s="242" t="s">
        <v>1135</v>
      </c>
      <c r="O51" s="242" t="s">
        <v>1136</v>
      </c>
      <c r="P51" s="240">
        <f t="shared" si="15"/>
        <v>134780.80000000002</v>
      </c>
      <c r="Q51" s="240">
        <f t="shared" si="3"/>
        <v>0</v>
      </c>
      <c r="R51" s="285">
        <v>71370</v>
      </c>
      <c r="S51" s="240">
        <f t="shared" si="12"/>
        <v>63410.800000000017</v>
      </c>
    </row>
    <row r="52" spans="1:20">
      <c r="A52" s="235">
        <v>6</v>
      </c>
      <c r="B52" s="278" t="s">
        <v>1137</v>
      </c>
      <c r="C52" s="279">
        <v>500</v>
      </c>
      <c r="D52" s="279" t="s">
        <v>1125</v>
      </c>
      <c r="E52" s="98">
        <v>84</v>
      </c>
      <c r="F52" s="98">
        <f t="shared" si="13"/>
        <v>94.080000000000013</v>
      </c>
      <c r="G52" s="98">
        <f t="shared" si="14"/>
        <v>47040.000000000007</v>
      </c>
      <c r="H52" s="98">
        <v>500</v>
      </c>
      <c r="I52" s="98">
        <v>84</v>
      </c>
      <c r="J52" s="98">
        <v>94.080000000000013</v>
      </c>
      <c r="K52" s="98">
        <v>47040.000000000007</v>
      </c>
      <c r="L52" s="241">
        <f t="shared" si="11"/>
        <v>0</v>
      </c>
      <c r="M52" s="242">
        <f t="shared" si="10"/>
        <v>0</v>
      </c>
      <c r="N52" s="242" t="s">
        <v>1138</v>
      </c>
      <c r="O52" s="242" t="s">
        <v>1139</v>
      </c>
      <c r="P52" s="240">
        <f t="shared" si="15"/>
        <v>47040.000000000007</v>
      </c>
      <c r="Q52" s="240">
        <f t="shared" si="3"/>
        <v>0</v>
      </c>
      <c r="R52" s="285">
        <v>17920</v>
      </c>
      <c r="S52" s="240">
        <f t="shared" si="12"/>
        <v>29120.000000000007</v>
      </c>
    </row>
    <row r="53" spans="1:20">
      <c r="A53" s="235">
        <v>7</v>
      </c>
      <c r="B53" s="278" t="s">
        <v>663</v>
      </c>
      <c r="C53" s="279">
        <v>20</v>
      </c>
      <c r="D53" s="279" t="s">
        <v>1125</v>
      </c>
      <c r="E53" s="98">
        <v>10600</v>
      </c>
      <c r="F53" s="98">
        <f t="shared" si="13"/>
        <v>11872.000000000002</v>
      </c>
      <c r="G53" s="98">
        <f t="shared" si="14"/>
        <v>237440.00000000003</v>
      </c>
      <c r="H53" s="98">
        <v>20</v>
      </c>
      <c r="I53" s="98">
        <v>10600</v>
      </c>
      <c r="J53" s="98">
        <v>11872.000000000002</v>
      </c>
      <c r="K53" s="98">
        <v>237440.00000000003</v>
      </c>
      <c r="L53" s="241">
        <f t="shared" si="11"/>
        <v>0</v>
      </c>
      <c r="M53" s="242">
        <f t="shared" si="10"/>
        <v>0</v>
      </c>
      <c r="N53" s="242" t="s">
        <v>1140</v>
      </c>
      <c r="O53" s="242" t="s">
        <v>1141</v>
      </c>
      <c r="P53" s="240">
        <v>168800</v>
      </c>
      <c r="Q53" s="240">
        <f t="shared" si="3"/>
        <v>68640.000000000029</v>
      </c>
      <c r="R53" s="285">
        <v>168000</v>
      </c>
      <c r="S53" s="240">
        <f t="shared" si="12"/>
        <v>69440.000000000029</v>
      </c>
    </row>
    <row r="54" spans="1:20">
      <c r="A54" s="235">
        <v>8</v>
      </c>
      <c r="B54" s="278" t="s">
        <v>1142</v>
      </c>
      <c r="C54" s="279">
        <v>100</v>
      </c>
      <c r="D54" s="279" t="s">
        <v>1125</v>
      </c>
      <c r="E54" s="98">
        <v>4890</v>
      </c>
      <c r="F54" s="98">
        <f t="shared" si="13"/>
        <v>5476.8</v>
      </c>
      <c r="G54" s="98">
        <f t="shared" si="14"/>
        <v>547680</v>
      </c>
      <c r="H54" s="98">
        <v>100</v>
      </c>
      <c r="I54" s="98">
        <v>4890</v>
      </c>
      <c r="J54" s="98">
        <v>5476.8</v>
      </c>
      <c r="K54" s="98">
        <v>547680</v>
      </c>
      <c r="L54" s="241">
        <f t="shared" si="11"/>
        <v>0</v>
      </c>
      <c r="M54" s="242">
        <f t="shared" si="10"/>
        <v>0</v>
      </c>
      <c r="N54" s="242" t="s">
        <v>1143</v>
      </c>
      <c r="O54" s="242" t="s">
        <v>1144</v>
      </c>
      <c r="P54" s="240">
        <f t="shared" si="15"/>
        <v>547680</v>
      </c>
      <c r="Q54" s="240">
        <f t="shared" si="3"/>
        <v>0</v>
      </c>
      <c r="R54" s="285">
        <v>196600</v>
      </c>
      <c r="S54" s="240">
        <f t="shared" si="12"/>
        <v>351080</v>
      </c>
    </row>
    <row r="55" spans="1:20">
      <c r="A55" s="235">
        <v>11</v>
      </c>
      <c r="B55" s="281" t="s">
        <v>290</v>
      </c>
      <c r="C55" s="279">
        <v>42</v>
      </c>
      <c r="D55" s="279" t="s">
        <v>1134</v>
      </c>
      <c r="E55" s="98">
        <f>896/1.12</f>
        <v>799.99999999999989</v>
      </c>
      <c r="F55" s="98">
        <f t="shared" si="13"/>
        <v>896</v>
      </c>
      <c r="G55" s="98">
        <f t="shared" si="14"/>
        <v>37632</v>
      </c>
      <c r="H55" s="98">
        <v>42</v>
      </c>
      <c r="I55" s="98">
        <v>799.99999999999989</v>
      </c>
      <c r="J55" s="98">
        <v>896</v>
      </c>
      <c r="K55" s="98">
        <v>37632</v>
      </c>
      <c r="L55" s="241">
        <f t="shared" si="11"/>
        <v>0</v>
      </c>
      <c r="M55" s="242">
        <f t="shared" si="10"/>
        <v>0</v>
      </c>
      <c r="P55" s="240"/>
      <c r="Q55" s="240">
        <f t="shared" si="3"/>
        <v>37632</v>
      </c>
      <c r="R55" s="285"/>
      <c r="S55" s="240">
        <f t="shared" si="12"/>
        <v>37632</v>
      </c>
      <c r="T55" s="242" t="s">
        <v>1145</v>
      </c>
    </row>
    <row r="56" spans="1:20" s="284" customFormat="1">
      <c r="A56" s="282"/>
      <c r="B56" s="265" t="s">
        <v>1146</v>
      </c>
      <c r="C56" s="265"/>
      <c r="D56" s="265"/>
      <c r="E56" s="265"/>
      <c r="F56" s="265"/>
      <c r="G56" s="283">
        <f>SUM(G47:G55)</f>
        <v>1799515.2000000002</v>
      </c>
      <c r="H56" s="283"/>
      <c r="I56" s="283"/>
      <c r="J56" s="283"/>
      <c r="K56" s="283">
        <f>SUM(K47:K55)</f>
        <v>1799515.2000000002</v>
      </c>
      <c r="L56" s="283">
        <f>SUM(L47:L55)</f>
        <v>0</v>
      </c>
      <c r="M56" s="242">
        <f t="shared" si="10"/>
        <v>0</v>
      </c>
      <c r="N56" s="242"/>
      <c r="O56" s="242"/>
      <c r="P56" s="283">
        <f>SUM(P47:P55)</f>
        <v>1693243.2000000002</v>
      </c>
      <c r="Q56" s="283">
        <f>SUM(Q47:Q55)</f>
        <v>106272</v>
      </c>
      <c r="R56" s="283">
        <f>SUM(R47:R55)</f>
        <v>584490</v>
      </c>
      <c r="S56" s="283">
        <f>SUM(S47:S55)</f>
        <v>1215025.2000000002</v>
      </c>
    </row>
    <row r="57" spans="1:20">
      <c r="A57" s="235"/>
      <c r="B57" s="265" t="s">
        <v>1147</v>
      </c>
      <c r="C57" s="265"/>
      <c r="D57" s="265"/>
      <c r="E57" s="265"/>
      <c r="F57" s="265"/>
      <c r="G57" s="283">
        <f>G6+G40+G46+G56</f>
        <v>7707370.7200000016</v>
      </c>
      <c r="H57" s="283"/>
      <c r="I57" s="283"/>
      <c r="J57" s="283"/>
      <c r="K57" s="283">
        <f>K6+K40+K46+K56</f>
        <v>9141928.7200000025</v>
      </c>
      <c r="L57" s="283">
        <f>L6+L40+L46+L56</f>
        <v>1434558</v>
      </c>
      <c r="M57" s="242">
        <f t="shared" si="10"/>
        <v>1280855.357142857</v>
      </c>
      <c r="P57" s="283">
        <f>P6+P40+P46+P56</f>
        <v>8935192.7199999988</v>
      </c>
      <c r="Q57" s="283">
        <f>Q6+Q40+Q46+Q56</f>
        <v>206736</v>
      </c>
      <c r="R57" s="283">
        <f>R6+R40+R46+R56</f>
        <v>4658468.5999999996</v>
      </c>
      <c r="S57" s="283">
        <f>S6+S40+S46+S56</f>
        <v>4483460.120000001</v>
      </c>
    </row>
    <row r="58" spans="1:20">
      <c r="A58" s="235">
        <v>1</v>
      </c>
      <c r="B58" s="256" t="s">
        <v>810</v>
      </c>
      <c r="C58" s="256"/>
      <c r="D58" s="256"/>
      <c r="E58" s="256"/>
      <c r="F58" s="256"/>
      <c r="G58" s="247"/>
      <c r="H58" s="247">
        <v>1</v>
      </c>
      <c r="I58" s="247">
        <v>222200</v>
      </c>
      <c r="J58" s="247">
        <v>248864.00000000003</v>
      </c>
      <c r="K58" s="247">
        <v>248864.00000000003</v>
      </c>
      <c r="L58" s="247">
        <v>248864.00000000003</v>
      </c>
      <c r="M58" s="242">
        <f t="shared" si="10"/>
        <v>222200</v>
      </c>
      <c r="P58" s="240">
        <f t="shared" ref="P58:P59" si="16">J58*H58</f>
        <v>248864.00000000003</v>
      </c>
      <c r="Q58" s="240">
        <f t="shared" ref="Q58:Q59" si="17">K58-P58</f>
        <v>0</v>
      </c>
      <c r="R58" s="240">
        <f>J58*H58</f>
        <v>248864.00000000003</v>
      </c>
      <c r="S58" s="240">
        <f>K58-R58</f>
        <v>0</v>
      </c>
    </row>
    <row r="59" spans="1:20">
      <c r="A59" s="235">
        <v>2</v>
      </c>
      <c r="B59" s="256" t="s">
        <v>806</v>
      </c>
      <c r="C59" s="256"/>
      <c r="D59" s="256"/>
      <c r="E59" s="256"/>
      <c r="F59" s="256"/>
      <c r="G59" s="247"/>
      <c r="H59" s="247">
        <v>4</v>
      </c>
      <c r="I59" s="247">
        <v>18500</v>
      </c>
      <c r="J59" s="247">
        <v>20720.000000000004</v>
      </c>
      <c r="K59" s="247">
        <v>82880.000000000015</v>
      </c>
      <c r="L59" s="247">
        <v>82880.000000000015</v>
      </c>
      <c r="M59" s="242">
        <f t="shared" si="10"/>
        <v>74000</v>
      </c>
      <c r="P59" s="240">
        <f t="shared" si="16"/>
        <v>82880.000000000015</v>
      </c>
      <c r="Q59" s="240">
        <f t="shared" si="17"/>
        <v>0</v>
      </c>
      <c r="R59" s="240">
        <f>J59*H59</f>
        <v>82880.000000000015</v>
      </c>
      <c r="S59" s="240">
        <f>K59-R59</f>
        <v>0</v>
      </c>
    </row>
    <row r="60" spans="1:20" s="284" customFormat="1">
      <c r="A60" s="282"/>
      <c r="B60" s="265" t="s">
        <v>1148</v>
      </c>
      <c r="C60" s="265"/>
      <c r="D60" s="265"/>
      <c r="E60" s="265"/>
      <c r="F60" s="265"/>
      <c r="G60" s="283"/>
      <c r="H60" s="283"/>
      <c r="I60" s="265"/>
      <c r="J60" s="265"/>
      <c r="K60" s="283">
        <f>SUM(K58:K59)</f>
        <v>331744.00000000006</v>
      </c>
      <c r="L60" s="283">
        <f>SUM(L58:L59)</f>
        <v>331744.00000000006</v>
      </c>
      <c r="M60" s="242">
        <f t="shared" si="10"/>
        <v>296200</v>
      </c>
      <c r="N60" s="242"/>
      <c r="O60" s="242"/>
      <c r="P60" s="283">
        <f>SUM(P58:P59)</f>
        <v>331744.00000000006</v>
      </c>
      <c r="Q60" s="283">
        <f>SUM(Q58:Q59)</f>
        <v>0</v>
      </c>
      <c r="R60" s="283">
        <f>SUM(R58:R59)</f>
        <v>331744.00000000006</v>
      </c>
      <c r="S60" s="283">
        <f>SUM(S58:S59)</f>
        <v>0</v>
      </c>
    </row>
    <row r="63" spans="1:20">
      <c r="P63" s="252">
        <f>P57-9141930</f>
        <v>-206737.28000000119</v>
      </c>
    </row>
  </sheetData>
  <autoFilter ref="A3:T3"/>
  <mergeCells count="12">
    <mergeCell ref="T2:T3"/>
    <mergeCell ref="A2:A3"/>
    <mergeCell ref="B2:B3"/>
    <mergeCell ref="C2:G2"/>
    <mergeCell ref="H2:K2"/>
    <mergeCell ref="L2:L3"/>
    <mergeCell ref="N2:N3"/>
    <mergeCell ref="O2:O3"/>
    <mergeCell ref="P2:P3"/>
    <mergeCell ref="Q2:Q3"/>
    <mergeCell ref="R2:R3"/>
    <mergeCell ref="S2:S3"/>
  </mergeCells>
  <pageMargins left="0.23622047244094491" right="0.23622047244094491" top="0.74803149606299213" bottom="0.74803149606299213" header="0.31496062992125984" footer="0.31496062992125984"/>
  <pageSetup paperSize="9" scale="55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42"/>
  <sheetViews>
    <sheetView topLeftCell="B1" workbookViewId="0">
      <selection activeCell="M16" sqref="M16"/>
    </sheetView>
  </sheetViews>
  <sheetFormatPr defaultRowHeight="15"/>
  <cols>
    <col min="1" max="1" width="6.42578125" customWidth="1"/>
    <col min="2" max="2" width="30.85546875" customWidth="1"/>
    <col min="3" max="3" width="24.5703125" customWidth="1"/>
    <col min="5" max="5" width="9.5703125" customWidth="1"/>
    <col min="6" max="6" width="12" customWidth="1"/>
    <col min="7" max="7" width="16.28515625" customWidth="1"/>
    <col min="8" max="8" width="12.42578125" bestFit="1" customWidth="1"/>
    <col min="9" max="9" width="11.7109375" customWidth="1"/>
    <col min="12" max="12" width="35.42578125" customWidth="1"/>
    <col min="13" max="13" width="12.42578125" bestFit="1" customWidth="1"/>
    <col min="14" max="14" width="10" bestFit="1" customWidth="1"/>
    <col min="17" max="17" width="12.28515625" customWidth="1"/>
  </cols>
  <sheetData>
    <row r="2" spans="1:26" ht="51">
      <c r="A2" s="204" t="s">
        <v>9</v>
      </c>
      <c r="B2" s="204" t="s">
        <v>970</v>
      </c>
      <c r="C2" s="205" t="s">
        <v>971</v>
      </c>
      <c r="D2" s="204" t="s">
        <v>972</v>
      </c>
      <c r="E2" s="204" t="s">
        <v>973</v>
      </c>
      <c r="F2" s="204" t="s">
        <v>974</v>
      </c>
      <c r="G2" s="204" t="s">
        <v>975</v>
      </c>
      <c r="H2" s="204" t="s">
        <v>976</v>
      </c>
      <c r="I2" s="204" t="s">
        <v>977</v>
      </c>
      <c r="J2" s="204" t="s">
        <v>978</v>
      </c>
      <c r="K2" s="206" t="s">
        <v>979</v>
      </c>
      <c r="L2" s="206" t="s">
        <v>980</v>
      </c>
      <c r="M2" s="206" t="s">
        <v>981</v>
      </c>
      <c r="N2" s="206" t="s">
        <v>982</v>
      </c>
      <c r="O2" s="206" t="s">
        <v>983</v>
      </c>
      <c r="P2" s="206" t="s">
        <v>984</v>
      </c>
      <c r="Q2" s="206" t="s">
        <v>985</v>
      </c>
      <c r="R2" s="206"/>
      <c r="S2" s="206" t="s">
        <v>986</v>
      </c>
      <c r="T2" s="206" t="s">
        <v>987</v>
      </c>
      <c r="U2" s="206" t="s">
        <v>988</v>
      </c>
      <c r="V2" s="206" t="s">
        <v>989</v>
      </c>
      <c r="W2" s="206" t="s">
        <v>990</v>
      </c>
      <c r="X2" s="207" t="s">
        <v>991</v>
      </c>
      <c r="Y2" s="206" t="s">
        <v>931</v>
      </c>
      <c r="Z2" s="206" t="s">
        <v>992</v>
      </c>
    </row>
    <row r="3" spans="1:26">
      <c r="A3" s="558">
        <v>1</v>
      </c>
      <c r="B3" s="560" t="s">
        <v>993</v>
      </c>
      <c r="C3" s="562" t="s">
        <v>994</v>
      </c>
      <c r="D3" s="564">
        <v>2</v>
      </c>
      <c r="E3" s="562">
        <f>(25+7.5*(D3-1))*1.45</f>
        <v>47.125</v>
      </c>
      <c r="F3" s="566">
        <f>3000*1.12</f>
        <v>3360.0000000000005</v>
      </c>
      <c r="G3" s="556">
        <f>E3*F3*12</f>
        <v>1900080.0000000005</v>
      </c>
      <c r="H3" s="160"/>
      <c r="I3" s="160"/>
      <c r="K3" t="s">
        <v>995</v>
      </c>
      <c r="L3" t="s">
        <v>996</v>
      </c>
      <c r="M3" s="229">
        <v>170265.46</v>
      </c>
      <c r="Q3" s="208">
        <v>170265.46</v>
      </c>
      <c r="S3">
        <v>2</v>
      </c>
    </row>
    <row r="4" spans="1:26">
      <c r="A4" s="559"/>
      <c r="B4" s="561"/>
      <c r="C4" s="563"/>
      <c r="D4" s="565"/>
      <c r="E4" s="563"/>
      <c r="F4" s="567"/>
      <c r="G4" s="557"/>
      <c r="H4" s="160"/>
      <c r="I4" s="160"/>
      <c r="K4" t="s">
        <v>995</v>
      </c>
      <c r="L4" s="208" t="s">
        <v>997</v>
      </c>
      <c r="M4" s="229">
        <v>933340</v>
      </c>
      <c r="Q4" s="208">
        <v>560004</v>
      </c>
      <c r="S4">
        <v>10</v>
      </c>
    </row>
    <row r="5" spans="1:26">
      <c r="A5" s="558">
        <v>2</v>
      </c>
      <c r="B5" s="560" t="s">
        <v>998</v>
      </c>
      <c r="C5" s="562" t="s">
        <v>999</v>
      </c>
      <c r="D5" s="564">
        <v>3</v>
      </c>
      <c r="E5" s="562">
        <f t="shared" ref="E5:E28" si="0">(25+7.5*(D5-1))*1.45</f>
        <v>58</v>
      </c>
      <c r="F5" s="566">
        <f>4200*1.12</f>
        <v>4704</v>
      </c>
      <c r="G5" s="556">
        <f t="shared" ref="G5:G28" si="1">E5*F5*12</f>
        <v>3273984</v>
      </c>
      <c r="H5" s="160"/>
      <c r="I5" s="160"/>
      <c r="K5" t="s">
        <v>1000</v>
      </c>
      <c r="L5" t="s">
        <v>1001</v>
      </c>
      <c r="M5" s="229">
        <v>290308.52</v>
      </c>
      <c r="Q5" s="208">
        <v>290308.52</v>
      </c>
      <c r="S5">
        <v>2</v>
      </c>
    </row>
    <row r="6" spans="1:26">
      <c r="A6" s="559"/>
      <c r="B6" s="561"/>
      <c r="C6" s="563"/>
      <c r="D6" s="565"/>
      <c r="E6" s="563"/>
      <c r="F6" s="567"/>
      <c r="G6" s="557"/>
      <c r="H6" s="160"/>
      <c r="I6" s="160"/>
      <c r="K6" t="str">
        <f>K5</f>
        <v>ЗҰЛҚАШ ҚАНЫМ БАЗАРҒАЛИҚЫЗЫ</v>
      </c>
      <c r="L6" t="s">
        <v>1002</v>
      </c>
      <c r="M6" s="229">
        <v>2436000</v>
      </c>
      <c r="Q6" s="208">
        <f>243600*5</f>
        <v>1218000</v>
      </c>
      <c r="S6">
        <v>10</v>
      </c>
    </row>
    <row r="7" spans="1:26">
      <c r="A7" s="558">
        <v>3</v>
      </c>
      <c r="B7" s="558" t="s">
        <v>1003</v>
      </c>
      <c r="C7" s="562" t="s">
        <v>1004</v>
      </c>
      <c r="D7" s="564">
        <v>2</v>
      </c>
      <c r="E7" s="562">
        <f t="shared" si="0"/>
        <v>47.125</v>
      </c>
      <c r="F7" s="566">
        <f>4000</f>
        <v>4000</v>
      </c>
      <c r="G7" s="556">
        <f t="shared" si="1"/>
        <v>2262000</v>
      </c>
      <c r="H7" s="160"/>
      <c r="I7" s="160"/>
      <c r="K7" t="s">
        <v>1005</v>
      </c>
      <c r="L7" t="s">
        <v>1006</v>
      </c>
      <c r="M7" s="229">
        <v>180438.71</v>
      </c>
      <c r="Q7" s="208">
        <v>180438.71</v>
      </c>
      <c r="S7">
        <v>2</v>
      </c>
    </row>
    <row r="8" spans="1:26">
      <c r="A8" s="559"/>
      <c r="B8" s="559"/>
      <c r="C8" s="563"/>
      <c r="D8" s="565"/>
      <c r="E8" s="563"/>
      <c r="F8" s="567"/>
      <c r="G8" s="557"/>
      <c r="H8" s="160"/>
      <c r="I8" s="160"/>
      <c r="K8" t="s">
        <v>1005</v>
      </c>
      <c r="L8" t="s">
        <v>1007</v>
      </c>
      <c r="M8" s="229">
        <v>1280000</v>
      </c>
      <c r="Q8" s="208">
        <f>128000*6</f>
        <v>768000</v>
      </c>
      <c r="S8">
        <v>10</v>
      </c>
    </row>
    <row r="9" spans="1:26">
      <c r="A9" s="209">
        <v>4</v>
      </c>
      <c r="B9" s="210" t="s">
        <v>1008</v>
      </c>
      <c r="C9" s="210" t="s">
        <v>1009</v>
      </c>
      <c r="D9" s="211">
        <v>2</v>
      </c>
      <c r="E9" s="212">
        <f t="shared" si="0"/>
        <v>47.125</v>
      </c>
      <c r="F9" s="160">
        <f>3000*1.12</f>
        <v>3360.0000000000005</v>
      </c>
      <c r="G9" s="213">
        <f t="shared" si="1"/>
        <v>1900080.0000000005</v>
      </c>
      <c r="H9" s="160"/>
      <c r="I9" s="160"/>
      <c r="K9" t="s">
        <v>1010</v>
      </c>
      <c r="M9" s="229">
        <v>111501</v>
      </c>
      <c r="Q9" s="208"/>
      <c r="S9">
        <v>3</v>
      </c>
    </row>
    <row r="10" spans="1:26">
      <c r="A10" s="558">
        <v>5</v>
      </c>
      <c r="B10" s="560" t="s">
        <v>1011</v>
      </c>
      <c r="C10" s="562" t="s">
        <v>1012</v>
      </c>
      <c r="D10" s="564">
        <v>2</v>
      </c>
      <c r="E10" s="562">
        <f t="shared" si="0"/>
        <v>47.125</v>
      </c>
      <c r="F10" s="566">
        <f>5000*1.12</f>
        <v>5600.0000000000009</v>
      </c>
      <c r="G10" s="556">
        <f t="shared" si="1"/>
        <v>3166800.0000000009</v>
      </c>
      <c r="H10" s="160"/>
      <c r="I10" s="160"/>
      <c r="K10" t="s">
        <v>1013</v>
      </c>
      <c r="L10" t="s">
        <v>1014</v>
      </c>
      <c r="M10" s="229">
        <v>329032.26</v>
      </c>
      <c r="Q10" s="208">
        <v>329032.26</v>
      </c>
      <c r="S10">
        <v>2</v>
      </c>
    </row>
    <row r="11" spans="1:26">
      <c r="A11" s="559"/>
      <c r="B11" s="561"/>
      <c r="C11" s="563"/>
      <c r="D11" s="565"/>
      <c r="E11" s="563"/>
      <c r="F11" s="567"/>
      <c r="G11" s="557"/>
      <c r="H11" s="160"/>
      <c r="I11" s="160"/>
      <c r="K11" t="s">
        <v>1013</v>
      </c>
      <c r="L11" t="s">
        <v>1015</v>
      </c>
      <c r="M11" s="229">
        <v>2000000</v>
      </c>
      <c r="Q11" s="208">
        <f>200000*6</f>
        <v>1200000</v>
      </c>
      <c r="S11">
        <v>10</v>
      </c>
    </row>
    <row r="12" spans="1:26">
      <c r="A12" s="209">
        <v>6</v>
      </c>
      <c r="B12" s="214" t="s">
        <v>1016</v>
      </c>
      <c r="C12" s="215" t="s">
        <v>1017</v>
      </c>
      <c r="D12" s="216">
        <v>2</v>
      </c>
      <c r="E12" s="212">
        <f t="shared" si="0"/>
        <v>47.125</v>
      </c>
      <c r="F12" s="160">
        <f>1200*1.12</f>
        <v>1344.0000000000002</v>
      </c>
      <c r="G12" s="213">
        <f t="shared" si="1"/>
        <v>760032.00000000012</v>
      </c>
      <c r="H12" s="160"/>
      <c r="I12" s="160"/>
      <c r="K12" t="s">
        <v>1018</v>
      </c>
      <c r="L12" t="s">
        <v>1019</v>
      </c>
      <c r="M12" s="229">
        <v>411073.33</v>
      </c>
      <c r="Q12" s="208">
        <f>40873.33+(61700*2)</f>
        <v>164273.33000000002</v>
      </c>
      <c r="S12">
        <v>7</v>
      </c>
    </row>
    <row r="13" spans="1:26">
      <c r="A13" s="209">
        <v>7</v>
      </c>
      <c r="B13" s="210" t="s">
        <v>1020</v>
      </c>
      <c r="C13" s="210" t="s">
        <v>1021</v>
      </c>
      <c r="D13" s="216">
        <v>2</v>
      </c>
      <c r="E13" s="212">
        <f t="shared" si="0"/>
        <v>47.125</v>
      </c>
      <c r="F13" s="160">
        <f>2500*1.12</f>
        <v>2800.0000000000005</v>
      </c>
      <c r="G13" s="213">
        <f t="shared" si="1"/>
        <v>1583400.0000000005</v>
      </c>
      <c r="H13" s="160"/>
      <c r="I13" s="160"/>
      <c r="K13" t="s">
        <v>1022</v>
      </c>
      <c r="M13" s="229">
        <v>44450</v>
      </c>
      <c r="Q13" s="208"/>
      <c r="S13">
        <v>3</v>
      </c>
    </row>
    <row r="14" spans="1:26">
      <c r="A14" s="209">
        <v>8</v>
      </c>
      <c r="B14" s="217" t="s">
        <v>1023</v>
      </c>
      <c r="C14" s="218" t="s">
        <v>1024</v>
      </c>
      <c r="D14" s="219">
        <v>4</v>
      </c>
      <c r="E14" s="212">
        <f>(25+7.5*(D14-1))*1.45</f>
        <v>68.875</v>
      </c>
      <c r="F14" s="160">
        <f>3500*1.12</f>
        <v>3920.0000000000005</v>
      </c>
      <c r="G14" s="213">
        <f>E14*F14*12</f>
        <v>3239880.0000000009</v>
      </c>
      <c r="H14" s="213">
        <f>1*7.5*1.45*3920*12</f>
        <v>511560</v>
      </c>
      <c r="I14" s="160"/>
      <c r="M14" s="229"/>
      <c r="Q14" s="208"/>
    </row>
    <row r="15" spans="1:26">
      <c r="A15" s="209">
        <v>9</v>
      </c>
      <c r="B15" s="220" t="s">
        <v>1025</v>
      </c>
      <c r="C15" s="221" t="s">
        <v>1026</v>
      </c>
      <c r="D15" s="211">
        <v>2</v>
      </c>
      <c r="E15" s="212">
        <f t="shared" si="0"/>
        <v>47.125</v>
      </c>
      <c r="F15" s="160">
        <f>2600*1.12</f>
        <v>2912.0000000000005</v>
      </c>
      <c r="G15" s="213">
        <f t="shared" si="1"/>
        <v>1646736.0000000005</v>
      </c>
      <c r="H15" s="213">
        <v>20321</v>
      </c>
      <c r="I15" s="160">
        <f>H15*12</f>
        <v>243852</v>
      </c>
      <c r="J15">
        <v>15.5</v>
      </c>
      <c r="K15" t="s">
        <v>1027</v>
      </c>
      <c r="M15" s="229">
        <v>243582</v>
      </c>
      <c r="Q15" s="208">
        <f>20321*8</f>
        <v>162568</v>
      </c>
      <c r="S15">
        <v>12</v>
      </c>
    </row>
    <row r="16" spans="1:26">
      <c r="A16" s="558">
        <v>10</v>
      </c>
      <c r="B16" s="568" t="s">
        <v>1028</v>
      </c>
      <c r="C16" s="562" t="s">
        <v>1029</v>
      </c>
      <c r="D16" s="564">
        <v>2</v>
      </c>
      <c r="E16" s="562">
        <f t="shared" si="0"/>
        <v>47.125</v>
      </c>
      <c r="F16" s="566">
        <f>3900*1.12</f>
        <v>4368</v>
      </c>
      <c r="G16" s="556">
        <f t="shared" si="1"/>
        <v>2470104</v>
      </c>
      <c r="H16" s="213"/>
      <c r="I16" s="160"/>
      <c r="K16" t="s">
        <v>1030</v>
      </c>
      <c r="L16" s="222" t="s">
        <v>1031</v>
      </c>
      <c r="M16" s="229">
        <v>329875.01</v>
      </c>
      <c r="Q16" s="223">
        <v>164937.5</v>
      </c>
      <c r="R16" s="224"/>
      <c r="S16">
        <v>1</v>
      </c>
    </row>
    <row r="17" spans="1:19">
      <c r="A17" s="559"/>
      <c r="B17" s="569"/>
      <c r="C17" s="563"/>
      <c r="D17" s="565"/>
      <c r="E17" s="563"/>
      <c r="F17" s="567"/>
      <c r="G17" s="557"/>
      <c r="H17" s="213"/>
      <c r="I17" s="160"/>
      <c r="K17" t="s">
        <v>1032</v>
      </c>
      <c r="L17" s="222" t="s">
        <v>1033</v>
      </c>
      <c r="M17" s="229">
        <v>1790825.4</v>
      </c>
      <c r="N17" s="208"/>
      <c r="O17" s="208"/>
      <c r="P17" s="208"/>
      <c r="Q17" s="208">
        <f>124941+(208235*3)</f>
        <v>749646</v>
      </c>
      <c r="R17" s="224"/>
      <c r="S17">
        <v>9</v>
      </c>
    </row>
    <row r="18" spans="1:19">
      <c r="A18" s="558">
        <v>11</v>
      </c>
      <c r="B18" s="560" t="s">
        <v>1034</v>
      </c>
      <c r="C18" s="562" t="s">
        <v>1035</v>
      </c>
      <c r="D18" s="564">
        <v>3</v>
      </c>
      <c r="E18" s="562">
        <f t="shared" si="0"/>
        <v>58</v>
      </c>
      <c r="F18" s="566">
        <f>2000*1.12</f>
        <v>2240</v>
      </c>
      <c r="G18" s="556">
        <f t="shared" si="1"/>
        <v>1559040</v>
      </c>
      <c r="H18" s="213"/>
      <c r="I18" s="160"/>
      <c r="K18" t="s">
        <v>1036</v>
      </c>
      <c r="L18" s="222" t="s">
        <v>1037</v>
      </c>
      <c r="M18" s="229">
        <v>1000000</v>
      </c>
      <c r="Q18" s="208">
        <v>600000</v>
      </c>
      <c r="R18" s="224"/>
      <c r="S18">
        <v>10</v>
      </c>
    </row>
    <row r="19" spans="1:19">
      <c r="A19" s="559"/>
      <c r="B19" s="561"/>
      <c r="C19" s="563"/>
      <c r="D19" s="565"/>
      <c r="E19" s="563"/>
      <c r="F19" s="567"/>
      <c r="G19" s="557"/>
      <c r="H19" s="213"/>
      <c r="I19" s="160"/>
      <c r="K19" t="s">
        <v>1036</v>
      </c>
      <c r="L19" s="222" t="s">
        <v>1038</v>
      </c>
      <c r="M19" s="229">
        <v>90268.32</v>
      </c>
      <c r="Q19" s="208">
        <v>90268.32</v>
      </c>
      <c r="R19" s="224"/>
      <c r="S19">
        <v>2</v>
      </c>
    </row>
    <row r="20" spans="1:19">
      <c r="A20" s="209">
        <v>12</v>
      </c>
      <c r="B20" s="210" t="s">
        <v>1039</v>
      </c>
      <c r="C20" s="210" t="s">
        <v>1040</v>
      </c>
      <c r="D20" s="211">
        <v>2</v>
      </c>
      <c r="E20" s="212">
        <f t="shared" si="0"/>
        <v>47.125</v>
      </c>
      <c r="F20" s="160">
        <f>3000*1.12</f>
        <v>3360.0000000000005</v>
      </c>
      <c r="G20" s="213">
        <f t="shared" si="1"/>
        <v>1900080.0000000005</v>
      </c>
      <c r="H20" s="213"/>
      <c r="I20" s="160"/>
      <c r="K20" t="s">
        <v>1041</v>
      </c>
      <c r="L20" s="225" t="s">
        <v>1042</v>
      </c>
      <c r="M20" s="229">
        <v>989625</v>
      </c>
      <c r="Q20" s="208">
        <f>141375*3</f>
        <v>424125</v>
      </c>
      <c r="S20">
        <v>7</v>
      </c>
    </row>
    <row r="21" spans="1:19">
      <c r="A21" s="558">
        <v>13</v>
      </c>
      <c r="B21" s="560" t="s">
        <v>1043</v>
      </c>
      <c r="C21" s="562" t="s">
        <v>1044</v>
      </c>
      <c r="D21" s="564">
        <v>2</v>
      </c>
      <c r="E21" s="562">
        <f t="shared" si="0"/>
        <v>47.125</v>
      </c>
      <c r="F21" s="566">
        <f>2000*1.12</f>
        <v>2240</v>
      </c>
      <c r="G21" s="556">
        <f t="shared" si="1"/>
        <v>1266720</v>
      </c>
      <c r="H21" s="213"/>
      <c r="I21" s="160"/>
      <c r="K21" t="s">
        <v>1045</v>
      </c>
      <c r="L21" s="225" t="s">
        <v>1046</v>
      </c>
      <c r="M21" s="229">
        <v>176338.69</v>
      </c>
      <c r="Q21" s="208">
        <v>176338.69</v>
      </c>
      <c r="S21">
        <v>2</v>
      </c>
    </row>
    <row r="22" spans="1:19">
      <c r="A22" s="559"/>
      <c r="B22" s="561"/>
      <c r="C22" s="563"/>
      <c r="D22" s="565"/>
      <c r="E22" s="563"/>
      <c r="F22" s="567"/>
      <c r="G22" s="557"/>
      <c r="H22" s="213"/>
      <c r="I22" s="160"/>
      <c r="K22" t="s">
        <v>1045</v>
      </c>
      <c r="L22" s="225" t="s">
        <v>1047</v>
      </c>
      <c r="M22" s="229">
        <v>1055040</v>
      </c>
      <c r="Q22" s="208">
        <f>105504*6</f>
        <v>633024</v>
      </c>
      <c r="S22">
        <v>10</v>
      </c>
    </row>
    <row r="23" spans="1:19">
      <c r="A23" s="209">
        <v>14</v>
      </c>
      <c r="B23" s="220" t="s">
        <v>1048</v>
      </c>
      <c r="C23" s="221" t="s">
        <v>1049</v>
      </c>
      <c r="D23" s="211">
        <v>2</v>
      </c>
      <c r="E23" s="212">
        <f t="shared" si="0"/>
        <v>47.125</v>
      </c>
      <c r="F23" s="160">
        <f>2000*1.12</f>
        <v>2240</v>
      </c>
      <c r="G23" s="213">
        <f t="shared" si="1"/>
        <v>1266720</v>
      </c>
      <c r="H23" s="213"/>
      <c r="I23" s="160"/>
      <c r="K23" t="s">
        <v>1050</v>
      </c>
      <c r="M23" s="229">
        <v>223560</v>
      </c>
      <c r="Q23" s="208">
        <f>18630*6</f>
        <v>111780</v>
      </c>
      <c r="S23">
        <v>12</v>
      </c>
    </row>
    <row r="24" spans="1:19">
      <c r="A24" s="209">
        <v>15</v>
      </c>
      <c r="B24" s="220" t="s">
        <v>1051</v>
      </c>
      <c r="C24" s="221" t="s">
        <v>1052</v>
      </c>
      <c r="D24" s="211">
        <v>2</v>
      </c>
      <c r="E24" s="212">
        <f t="shared" si="0"/>
        <v>47.125</v>
      </c>
      <c r="F24" s="160">
        <v>16457</v>
      </c>
      <c r="G24" s="213">
        <f xml:space="preserve"> F24*12</f>
        <v>197484</v>
      </c>
      <c r="H24" s="213">
        <v>14913</v>
      </c>
      <c r="I24" s="160">
        <f>H24*12</f>
        <v>178956</v>
      </c>
      <c r="K24" t="s">
        <v>1053</v>
      </c>
      <c r="M24" s="229">
        <v>178956</v>
      </c>
      <c r="Q24" s="208">
        <f>14913*8</f>
        <v>119304</v>
      </c>
      <c r="S24">
        <v>12</v>
      </c>
    </row>
    <row r="25" spans="1:19">
      <c r="A25" s="209">
        <v>16</v>
      </c>
      <c r="B25" s="214" t="s">
        <v>1054</v>
      </c>
      <c r="C25" s="215" t="s">
        <v>1055</v>
      </c>
      <c r="D25" s="216">
        <v>2</v>
      </c>
      <c r="E25" s="212">
        <f t="shared" si="0"/>
        <v>47.125</v>
      </c>
      <c r="F25" s="160">
        <f>2000*1.12</f>
        <v>2240</v>
      </c>
      <c r="G25" s="213">
        <f t="shared" si="1"/>
        <v>1266720</v>
      </c>
      <c r="H25" s="213"/>
      <c r="I25" s="160"/>
      <c r="M25" s="229"/>
      <c r="Q25" s="208"/>
    </row>
    <row r="26" spans="1:19">
      <c r="A26" s="209">
        <v>17</v>
      </c>
      <c r="B26" s="220" t="s">
        <v>1056</v>
      </c>
      <c r="C26" s="221" t="s">
        <v>1057</v>
      </c>
      <c r="D26" s="211">
        <v>2</v>
      </c>
      <c r="E26" s="212">
        <f t="shared" si="0"/>
        <v>47.125</v>
      </c>
      <c r="F26" s="160">
        <f>2000*1.12</f>
        <v>2240</v>
      </c>
      <c r="G26" s="213">
        <f t="shared" si="1"/>
        <v>1266720</v>
      </c>
      <c r="H26" s="213"/>
      <c r="I26" s="160"/>
      <c r="K26" t="s">
        <v>1058</v>
      </c>
      <c r="M26" s="229">
        <f>12086*12</f>
        <v>145032</v>
      </c>
      <c r="Q26" s="208">
        <f>12086*8</f>
        <v>96688</v>
      </c>
      <c r="S26">
        <v>12</v>
      </c>
    </row>
    <row r="27" spans="1:19">
      <c r="A27" s="209">
        <v>18</v>
      </c>
      <c r="B27" s="220" t="s">
        <v>1059</v>
      </c>
      <c r="C27" s="221" t="s">
        <v>1060</v>
      </c>
      <c r="D27" s="211">
        <v>2</v>
      </c>
      <c r="E27" s="212">
        <f t="shared" si="0"/>
        <v>47.125</v>
      </c>
      <c r="F27" s="160">
        <f>7000*1.12</f>
        <v>7840.0000000000009</v>
      </c>
      <c r="G27" s="213">
        <f t="shared" si="1"/>
        <v>4433520.0000000009</v>
      </c>
      <c r="H27" s="213"/>
      <c r="I27" s="160"/>
      <c r="K27" t="s">
        <v>1061</v>
      </c>
      <c r="L27" t="s">
        <v>1062</v>
      </c>
      <c r="M27" s="229">
        <v>3694600</v>
      </c>
      <c r="Q27" s="208">
        <f>369460*5</f>
        <v>1847300</v>
      </c>
      <c r="S27">
        <v>10</v>
      </c>
    </row>
    <row r="28" spans="1:19">
      <c r="A28" s="558">
        <v>19</v>
      </c>
      <c r="B28" s="560" t="s">
        <v>90</v>
      </c>
      <c r="C28" s="562" t="s">
        <v>1063</v>
      </c>
      <c r="D28" s="564">
        <v>3</v>
      </c>
      <c r="E28" s="562">
        <f t="shared" si="0"/>
        <v>58</v>
      </c>
      <c r="F28" s="566">
        <f>3500*1.12</f>
        <v>3920.0000000000005</v>
      </c>
      <c r="G28" s="556">
        <f t="shared" si="1"/>
        <v>2728320.0000000005</v>
      </c>
      <c r="H28" s="160"/>
      <c r="I28" s="160"/>
      <c r="K28" t="s">
        <v>1064</v>
      </c>
      <c r="L28" s="222" t="s">
        <v>1065</v>
      </c>
      <c r="M28" s="229">
        <v>124274.19</v>
      </c>
      <c r="N28" s="208"/>
      <c r="Q28" s="208">
        <v>124274.19</v>
      </c>
      <c r="R28" s="224"/>
      <c r="S28">
        <v>2</v>
      </c>
    </row>
    <row r="29" spans="1:19">
      <c r="A29" s="559"/>
      <c r="B29" s="561"/>
      <c r="C29" s="563"/>
      <c r="D29" s="565"/>
      <c r="E29" s="563"/>
      <c r="F29" s="567"/>
      <c r="G29" s="557"/>
      <c r="H29" s="160"/>
      <c r="I29" s="160"/>
      <c r="K29" t="s">
        <v>1066</v>
      </c>
      <c r="L29" t="s">
        <v>1067</v>
      </c>
      <c r="M29" s="229">
        <v>1386000</v>
      </c>
      <c r="N29" s="208"/>
      <c r="Q29" s="208">
        <f>138600*6</f>
        <v>831600</v>
      </c>
      <c r="R29" s="224"/>
      <c r="S29">
        <v>10</v>
      </c>
    </row>
    <row r="30" spans="1:19">
      <c r="A30" s="226"/>
      <c r="B30" s="227" t="s">
        <v>1068</v>
      </c>
      <c r="C30" s="226"/>
      <c r="D30" s="228">
        <f>SUM(D3:D28)</f>
        <v>43</v>
      </c>
      <c r="E30" s="226">
        <f>SUM(E3:E28)</f>
        <v>949.75</v>
      </c>
      <c r="F30" s="226" t="s">
        <v>1069</v>
      </c>
      <c r="G30" s="226">
        <f>SUM(G3:G28)</f>
        <v>38088420</v>
      </c>
      <c r="H30" s="213">
        <v>38599980</v>
      </c>
      <c r="I30" s="160"/>
      <c r="M30" s="226">
        <f>SUM(M3:M29)</f>
        <v>19614385.890000001</v>
      </c>
      <c r="Q30" s="226">
        <f>SUM(Q3:Q28)</f>
        <v>10180575.98</v>
      </c>
    </row>
    <row r="32" spans="1:19">
      <c r="G32">
        <f>G30/1.12</f>
        <v>34007517.857142851</v>
      </c>
    </row>
    <row r="35" spans="2:13">
      <c r="B35" t="s">
        <v>1070</v>
      </c>
      <c r="E35" t="s">
        <v>1069</v>
      </c>
      <c r="M35" s="208"/>
    </row>
    <row r="37" spans="2:13">
      <c r="C37" t="s">
        <v>1069</v>
      </c>
      <c r="M37" s="208"/>
    </row>
    <row r="38" spans="2:13">
      <c r="M38" s="208"/>
    </row>
    <row r="39" spans="2:13">
      <c r="M39" s="208"/>
    </row>
    <row r="40" spans="2:13">
      <c r="M40" s="208"/>
    </row>
    <row r="41" spans="2:13">
      <c r="M41" s="208"/>
    </row>
    <row r="42" spans="2:13">
      <c r="M42" s="208"/>
    </row>
  </sheetData>
  <mergeCells count="56">
    <mergeCell ref="G3:G4"/>
    <mergeCell ref="A5:A6"/>
    <mergeCell ref="B5:B6"/>
    <mergeCell ref="C5:C6"/>
    <mergeCell ref="D5:D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1:G22"/>
    <mergeCell ref="A28:A29"/>
    <mergeCell ref="B28:B29"/>
    <mergeCell ref="C28:C29"/>
    <mergeCell ref="D28:D29"/>
    <mergeCell ref="E28:E29"/>
    <mergeCell ref="F28:F29"/>
    <mergeCell ref="G28:G29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МОБ</vt:lpstr>
      <vt:lpstr>ЕЕ</vt:lpstr>
      <vt:lpstr>повыш. квал</vt:lpstr>
      <vt:lpstr>7100</vt:lpstr>
      <vt:lpstr>1720</vt:lpstr>
      <vt:lpstr>7200</vt:lpstr>
      <vt:lpstr>ОС и НМА</vt:lpstr>
      <vt:lpstr>ТМЗ и услуги</vt:lpstr>
      <vt:lpstr>регионы</vt:lpstr>
      <vt:lpstr>УЛИСИ</vt:lpstr>
      <vt:lpstr>ЕЕ!Заголовки_для_печати</vt:lpstr>
      <vt:lpstr>ЕЕ!Область_печати</vt:lpstr>
      <vt:lpstr>'ОС и НМА'!Область_печати</vt:lpstr>
      <vt:lpstr>'ТМЗ и услуги'!Область_печати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Aiat Uzembayev</dc:creator>
  <cp:lastModifiedBy>Кайбагарова Аспет Базаргалеевна</cp:lastModifiedBy>
  <cp:lastPrinted>2023-11-29T06:01:09Z</cp:lastPrinted>
  <dcterms:created xsi:type="dcterms:W3CDTF">2016-12-02T03:54:01Z</dcterms:created>
  <dcterms:modified xsi:type="dcterms:W3CDTF">2024-01-04T04:54:02Z</dcterms:modified>
</cp:coreProperties>
</file>